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uabira.sharepoint.com/sites/INSPECCIONES-UTEA/CAPACITACIONES/CAPACITACION_BID_GESTION_CANERA/"/>
    </mc:Choice>
  </mc:AlternateContent>
  <xr:revisionPtr revIDLastSave="25" documentId="8_{9B89CE7E-1CD5-4782-A1C9-394065186371}" xr6:coauthVersionLast="47" xr6:coauthVersionMax="47" xr10:uidLastSave="{18399731-9E0C-4D1E-BCCE-466E31410257}"/>
  <bookViews>
    <workbookView xWindow="-108" yWindow="-108" windowWidth="23256" windowHeight="12576" xr2:uid="{E535A9B5-18A7-4F88-B995-74C01FC95EB6}"/>
  </bookViews>
  <sheets>
    <sheet name="Practica_1" sheetId="22" r:id="rId1"/>
    <sheet name="Tabla ejemplo" sheetId="17" r:id="rId2"/>
  </sheets>
  <definedNames>
    <definedName name="_xlnm.Print_Area" localSheetId="0">Practica_1!$B$1:$E$26</definedName>
    <definedName name="_xlnm.Print_Area" localSheetId="1">'Tabla ejemplo'!$A$5:$D$29</definedName>
    <definedName name="BUSCARMES">#REF!</definedName>
    <definedName name="calendario">#N/A</definedName>
    <definedName name="ColumnTitle1">#REF!</definedName>
    <definedName name="cuadrículadedías">días+semanas*7</definedName>
    <definedName name="DailyWork">#REF!,#REF!,#REF!,#REF!,#REF!,#REF!</definedName>
    <definedName name="DayToStart">#REF!</definedName>
    <definedName name="días">{0,1,2,3,4,5,6}</definedName>
    <definedName name="días_laborables">{"Lunes","Martes","Miércoles","Jueves","Viernes","Sábado","Domingo"}</definedName>
    <definedName name="Fechas">#REF!</definedName>
    <definedName name="hooa" localSheetId="0">DATE([0]!YearToDisplay,[0]!mes,1)</definedName>
    <definedName name="hooa" localSheetId="1">DATE([0]!YearToDisplay,[0]!mes,1)</definedName>
    <definedName name="hooa">DATE([0]!YearToDisplay,[0]!mes,1)</definedName>
    <definedName name="InicioDeFilaDeTabla">ROW(#REF!)</definedName>
    <definedName name="InputsBalance_MY">#REF!,#REF!,#REF!,#REF!,#REF!,#REF!,#REF!,#REF!</definedName>
    <definedName name="InputsIncome_MY">#REF!,#REF!,#REF!,#REF!</definedName>
    <definedName name="InputsSCFP_MY">#REF!,#REF!,#REF!,#REF!,#REF!,#REF!,#REF!,#REF!</definedName>
    <definedName name="ListaDeDeberes">#REF!</definedName>
    <definedName name="mes">#N/A</definedName>
    <definedName name="meses">{"Enero","Febrero","Marzo","Abril","Mayo","Junio","Julio","Agosto","Septiembre","Octubre","Noviembre","Diciembre"}</definedName>
    <definedName name="MonthToDisplayNumber">#N/A</definedName>
    <definedName name="NUMES">#REF!</definedName>
    <definedName name="opción_díadelasemana">MATCH(DayToStart,weekdays_reversed,0)-2</definedName>
    <definedName name="primerafecha" localSheetId="0">DATE([0]!YearToDisplay,[0]!mes,1)</definedName>
    <definedName name="primerafecha" localSheetId="1">DATE([0]!YearToDisplay,[0]!mes,1)</definedName>
    <definedName name="primerafecha">DATE([0]!YearToDisplay,[0]!mes,1)</definedName>
    <definedName name="semanas">{0;1;2;3;4;5;6}</definedName>
    <definedName name="solver_adj" localSheetId="0" hidden="1">Practica_1!$R$4</definedName>
    <definedName name="solver_adj" localSheetId="1" hidden="1">'Tabla ejemplo'!$Q$8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Practica_1!$N$12</definedName>
    <definedName name="solver_opt" localSheetId="1" hidden="1">'Tabla ejemplo'!$M$16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870.33</definedName>
    <definedName name="solver_val" localSheetId="1" hidden="1">870.33</definedName>
    <definedName name="solver_ver" localSheetId="0" hidden="1">3</definedName>
    <definedName name="solver_ver" localSheetId="1" hidden="1">3</definedName>
    <definedName name="weekdays_reversed">{"Domingo","Sábado","Viernes","Jueves","Miércoles","Martes","Lunes"}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2" l="1"/>
  <c r="N19" i="22"/>
  <c r="N20" i="22"/>
  <c r="N17" i="22"/>
  <c r="F23" i="22"/>
  <c r="C74" i="22"/>
  <c r="F73" i="22"/>
  <c r="F74" i="22" s="1"/>
  <c r="C65" i="22"/>
  <c r="F62" i="22"/>
  <c r="F61" i="22"/>
  <c r="F60" i="22"/>
  <c r="F59" i="22"/>
  <c r="G58" i="22"/>
  <c r="F58" i="22"/>
  <c r="G57" i="22"/>
  <c r="F57" i="22"/>
  <c r="F56" i="22"/>
  <c r="F55" i="22"/>
  <c r="G54" i="22"/>
  <c r="F54" i="22"/>
  <c r="G53" i="22"/>
  <c r="F53" i="22"/>
  <c r="F52" i="22"/>
  <c r="F51" i="22"/>
  <c r="G50" i="22"/>
  <c r="F50" i="22"/>
  <c r="G49" i="22"/>
  <c r="F49" i="22"/>
  <c r="F48" i="22"/>
  <c r="F47" i="22"/>
  <c r="C43" i="22"/>
  <c r="F40" i="22"/>
  <c r="G39" i="22"/>
  <c r="F39" i="22"/>
  <c r="F38" i="22"/>
  <c r="F37" i="22"/>
  <c r="G36" i="22"/>
  <c r="F36" i="22"/>
  <c r="G35" i="22"/>
  <c r="F35" i="22"/>
  <c r="F34" i="22"/>
  <c r="G33" i="22"/>
  <c r="F33" i="22"/>
  <c r="F32" i="22"/>
  <c r="G31" i="22"/>
  <c r="F31" i="22"/>
  <c r="G30" i="22"/>
  <c r="F30" i="22"/>
  <c r="C26" i="22"/>
  <c r="G38" i="22" s="1"/>
  <c r="G22" i="22"/>
  <c r="F22" i="22"/>
  <c r="G21" i="22"/>
  <c r="F21" i="22"/>
  <c r="F20" i="22"/>
  <c r="F19" i="22"/>
  <c r="F18" i="22"/>
  <c r="F17" i="22"/>
  <c r="G16" i="22"/>
  <c r="F16" i="22"/>
  <c r="G15" i="22"/>
  <c r="F15" i="22"/>
  <c r="G14" i="22"/>
  <c r="F14" i="22"/>
  <c r="K13" i="22"/>
  <c r="K22" i="22" s="1"/>
  <c r="G13" i="22"/>
  <c r="F13" i="22"/>
  <c r="G12" i="22"/>
  <c r="F12" i="22"/>
  <c r="F11" i="22"/>
  <c r="S10" i="22"/>
  <c r="R10" i="22"/>
  <c r="K10" i="22"/>
  <c r="F9" i="22"/>
  <c r="F8" i="22"/>
  <c r="S7" i="22"/>
  <c r="S9" i="22" s="1"/>
  <c r="R7" i="22"/>
  <c r="F7" i="22"/>
  <c r="G6" i="22"/>
  <c r="F6" i="22"/>
  <c r="F24" i="22" s="1"/>
  <c r="K5" i="22"/>
  <c r="Q7" i="22" s="1"/>
  <c r="T4" i="22"/>
  <c r="P3" i="22"/>
  <c r="P7" i="22" s="1"/>
  <c r="J24" i="17"/>
  <c r="J23" i="17"/>
  <c r="J22" i="17"/>
  <c r="J21" i="17"/>
  <c r="K21" i="17" s="1"/>
  <c r="S11" i="22" l="1"/>
  <c r="K25" i="22"/>
  <c r="G62" i="22"/>
  <c r="F63" i="22"/>
  <c r="F64" i="22" s="1"/>
  <c r="T3" i="22"/>
  <c r="O10" i="22"/>
  <c r="G32" i="22"/>
  <c r="G47" i="22"/>
  <c r="G51" i="22"/>
  <c r="G55" i="22"/>
  <c r="G59" i="22"/>
  <c r="F25" i="22"/>
  <c r="G40" i="22"/>
  <c r="Q10" i="22"/>
  <c r="K20" i="22"/>
  <c r="F41" i="22"/>
  <c r="F42" i="22" s="1"/>
  <c r="G48" i="22"/>
  <c r="G52" i="22"/>
  <c r="G56" i="22"/>
  <c r="G60" i="22"/>
  <c r="P10" i="22"/>
  <c r="O7" i="22"/>
  <c r="G37" i="22"/>
  <c r="G61" i="22"/>
  <c r="G34" i="22"/>
  <c r="F65" i="22" l="1"/>
  <c r="K4" i="22"/>
  <c r="F43" i="22"/>
  <c r="K3" i="22"/>
  <c r="T7" i="22"/>
  <c r="T10" i="22"/>
  <c r="K2" i="22"/>
  <c r="F26" i="22"/>
  <c r="S15" i="17"/>
  <c r="N15" i="17"/>
  <c r="O15" i="17"/>
  <c r="P15" i="17"/>
  <c r="Q15" i="17"/>
  <c r="R15" i="17"/>
  <c r="M15" i="17"/>
  <c r="S14" i="17"/>
  <c r="O14" i="17"/>
  <c r="P14" i="17"/>
  <c r="Q14" i="17"/>
  <c r="R14" i="17"/>
  <c r="N14" i="17"/>
  <c r="J26" i="17"/>
  <c r="K26" i="17" s="1"/>
  <c r="L26" i="17" s="1"/>
  <c r="K23" i="17"/>
  <c r="L23" i="17" s="1"/>
  <c r="K22" i="17"/>
  <c r="L22" i="17" s="1"/>
  <c r="L21" i="17"/>
  <c r="K24" i="17"/>
  <c r="L24" i="17" s="1"/>
  <c r="M13" i="17"/>
  <c r="O11" i="17"/>
  <c r="P11" i="17"/>
  <c r="Q11" i="17"/>
  <c r="R11" i="17"/>
  <c r="N11" i="17"/>
  <c r="M9" i="17"/>
  <c r="J17" i="17"/>
  <c r="E27" i="17"/>
  <c r="E16" i="17"/>
  <c r="E11" i="17"/>
  <c r="J14" i="17"/>
  <c r="E12" i="17"/>
  <c r="J9" i="17"/>
  <c r="E10" i="17"/>
  <c r="S8" i="17"/>
  <c r="B77" i="17"/>
  <c r="E76" i="17"/>
  <c r="B68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B46" i="17"/>
  <c r="E43" i="17"/>
  <c r="E42" i="17"/>
  <c r="E41" i="17"/>
  <c r="E40" i="17"/>
  <c r="E39" i="17"/>
  <c r="E38" i="17"/>
  <c r="E37" i="17"/>
  <c r="E36" i="17"/>
  <c r="E35" i="17"/>
  <c r="E34" i="17"/>
  <c r="E33" i="17"/>
  <c r="B29" i="17"/>
  <c r="F41" i="17" s="1"/>
  <c r="E26" i="17"/>
  <c r="E25" i="17"/>
  <c r="E24" i="17"/>
  <c r="E23" i="17"/>
  <c r="E22" i="17"/>
  <c r="E21" i="17"/>
  <c r="E20" i="17"/>
  <c r="E19" i="17"/>
  <c r="E18" i="17"/>
  <c r="E17" i="17"/>
  <c r="E15" i="17"/>
  <c r="E13" i="17"/>
  <c r="O7" i="17"/>
  <c r="S7" i="17" s="1"/>
  <c r="N5" i="22" l="1"/>
  <c r="K17" i="22"/>
  <c r="K18" i="22"/>
  <c r="N6" i="22"/>
  <c r="T6" i="22" s="1"/>
  <c r="K19" i="22"/>
  <c r="R8" i="22"/>
  <c r="R9" i="22" s="1"/>
  <c r="R11" i="22" s="1"/>
  <c r="Q8" i="22"/>
  <c r="Q9" i="22" s="1"/>
  <c r="Q11" i="22" s="1"/>
  <c r="P8" i="22"/>
  <c r="P9" i="22" s="1"/>
  <c r="P11" i="22" s="1"/>
  <c r="O8" i="22"/>
  <c r="J29" i="17"/>
  <c r="J25" i="17"/>
  <c r="J28" i="17" s="1"/>
  <c r="K25" i="17"/>
  <c r="K27" i="17" s="1"/>
  <c r="K46" i="17" s="1"/>
  <c r="L25" i="17"/>
  <c r="L27" i="17" s="1"/>
  <c r="R13" i="17"/>
  <c r="F10" i="17"/>
  <c r="E77" i="17"/>
  <c r="F18" i="17"/>
  <c r="F34" i="17"/>
  <c r="F53" i="17"/>
  <c r="F57" i="17"/>
  <c r="F61" i="17"/>
  <c r="F65" i="17"/>
  <c r="E66" i="17"/>
  <c r="E67" i="17" s="1"/>
  <c r="F19" i="17"/>
  <c r="F25" i="17"/>
  <c r="F35" i="17"/>
  <c r="F50" i="17"/>
  <c r="F54" i="17"/>
  <c r="F58" i="17"/>
  <c r="F62" i="17"/>
  <c r="F38" i="17"/>
  <c r="F42" i="17"/>
  <c r="F16" i="17"/>
  <c r="F39" i="17"/>
  <c r="F43" i="17"/>
  <c r="F20" i="17"/>
  <c r="F36" i="17"/>
  <c r="E44" i="17"/>
  <c r="E45" i="17" s="1"/>
  <c r="J7" i="17" s="1"/>
  <c r="F51" i="17"/>
  <c r="F55" i="17"/>
  <c r="F59" i="17"/>
  <c r="F63" i="17"/>
  <c r="F17" i="17"/>
  <c r="F40" i="17"/>
  <c r="F33" i="17"/>
  <c r="F52" i="17"/>
  <c r="F56" i="17"/>
  <c r="F60" i="17"/>
  <c r="F64" i="17"/>
  <c r="F26" i="17"/>
  <c r="F37" i="17"/>
  <c r="T8" i="22" l="1"/>
  <c r="O9" i="22"/>
  <c r="O11" i="22" s="1"/>
  <c r="K21" i="22"/>
  <c r="T5" i="22"/>
  <c r="N9" i="22"/>
  <c r="J27" i="17"/>
  <c r="M10" i="17"/>
  <c r="J8" i="17"/>
  <c r="E28" i="17"/>
  <c r="E29" i="17" s="1"/>
  <c r="E46" i="17"/>
  <c r="S10" i="17"/>
  <c r="E68" i="17"/>
  <c r="K24" i="22" l="1"/>
  <c r="K26" i="22" s="1"/>
  <c r="K23" i="22"/>
  <c r="T9" i="22"/>
  <c r="T11" i="22" s="1"/>
  <c r="N12" i="22" s="1"/>
  <c r="N11" i="22"/>
  <c r="J30" i="17"/>
  <c r="K36" i="17"/>
  <c r="N12" i="17"/>
  <c r="J6" i="17"/>
  <c r="S11" i="17"/>
  <c r="M42" i="22" l="1"/>
  <c r="M32" i="22"/>
  <c r="O12" i="17"/>
  <c r="O13" i="17" s="1"/>
  <c r="Q12" i="17"/>
  <c r="Q13" i="17" s="1"/>
  <c r="P12" i="17"/>
  <c r="P13" i="17" s="1"/>
  <c r="N13" i="17"/>
  <c r="S12" i="17"/>
  <c r="S13" i="17" l="1"/>
  <c r="M16" i="17" s="1"/>
  <c r="S9" i="17"/>
</calcChain>
</file>

<file path=xl/sharedStrings.xml><?xml version="1.0" encoding="utf-8"?>
<sst xmlns="http://schemas.openxmlformats.org/spreadsheetml/2006/main" count="358" uniqueCount="123">
  <si>
    <t>Demonstración del Costo para la siembra de 1 ha</t>
  </si>
  <si>
    <t>Superficie Cosecha</t>
  </si>
  <si>
    <t>TCH</t>
  </si>
  <si>
    <t>Cortes</t>
  </si>
  <si>
    <t>Descripcion</t>
  </si>
  <si>
    <t>Dosis</t>
  </si>
  <si>
    <t>Precio Unitario($us.)</t>
  </si>
  <si>
    <t>Costo U$/ha</t>
  </si>
  <si>
    <t>Cantidad P.</t>
  </si>
  <si>
    <t>Toneladas</t>
  </si>
  <si>
    <t>Eliminacion de Soca (Glifosato)</t>
  </si>
  <si>
    <t>L.</t>
  </si>
  <si>
    <t>Pol</t>
  </si>
  <si>
    <t>Rastra pesada (Rome plow)</t>
  </si>
  <si>
    <t>ha.</t>
  </si>
  <si>
    <t>Subsolado</t>
  </si>
  <si>
    <t>Rastra</t>
  </si>
  <si>
    <t>Resultados</t>
  </si>
  <si>
    <t>$/ha</t>
  </si>
  <si>
    <t>$/t</t>
  </si>
  <si>
    <t>$/Pol</t>
  </si>
  <si>
    <t>%</t>
  </si>
  <si>
    <t>M.O (Corte/Dist/Picar)</t>
  </si>
  <si>
    <t>Siembra</t>
  </si>
  <si>
    <t>Surqueado</t>
  </si>
  <si>
    <t>Fipronil (Insecticida)</t>
  </si>
  <si>
    <t>kg</t>
  </si>
  <si>
    <t>L. Cult. Soca</t>
  </si>
  <si>
    <t>Fertilizante de Fundación - MAP</t>
  </si>
  <si>
    <t>Kg</t>
  </si>
  <si>
    <t>Cosecha</t>
  </si>
  <si>
    <t>Vitavax</t>
  </si>
  <si>
    <t>Costo t.</t>
  </si>
  <si>
    <t>Biozine</t>
  </si>
  <si>
    <t>Ingreso</t>
  </si>
  <si>
    <t>Costo de Semilla</t>
  </si>
  <si>
    <t xml:space="preserve"> t</t>
  </si>
  <si>
    <t>Utilidad Bruta</t>
  </si>
  <si>
    <t xml:space="preserve">Distribución de semilla </t>
  </si>
  <si>
    <t>Inversion total</t>
  </si>
  <si>
    <t>Trasporte de Semilla</t>
  </si>
  <si>
    <t>Ingreso Total</t>
  </si>
  <si>
    <t>Ingreso $/ha</t>
  </si>
  <si>
    <t>Carguío</t>
  </si>
  <si>
    <t>Utilidad bruta t.</t>
  </si>
  <si>
    <t>Rendimiento t.</t>
  </si>
  <si>
    <t>Sacarosa</t>
  </si>
  <si>
    <t>Tapado</t>
  </si>
  <si>
    <t>Muestro de Suelo</t>
  </si>
  <si>
    <t>Yeso agricola enriquecido</t>
  </si>
  <si>
    <t>kg.</t>
  </si>
  <si>
    <t>Administración</t>
  </si>
  <si>
    <t>Costo/ha.</t>
  </si>
  <si>
    <t>Superficie de Siembra</t>
  </si>
  <si>
    <t>Costo Total</t>
  </si>
  <si>
    <t>Demonstración del Costo de Labores culturales Caña Hoja</t>
  </si>
  <si>
    <t>Cantidad</t>
  </si>
  <si>
    <t>Precio ($)</t>
  </si>
  <si>
    <t>Fumigación (Área total)</t>
  </si>
  <si>
    <t>ha</t>
  </si>
  <si>
    <t>Rendimiento</t>
  </si>
  <si>
    <t>Nro. Cortes</t>
  </si>
  <si>
    <t>Traviato</t>
  </si>
  <si>
    <t>Kg.</t>
  </si>
  <si>
    <t>Clomazone</t>
  </si>
  <si>
    <t>Coadjuvante</t>
  </si>
  <si>
    <t>Cultivo</t>
  </si>
  <si>
    <t>MSMA</t>
  </si>
  <si>
    <t>Tordon</t>
  </si>
  <si>
    <t>Clorantraniliprole</t>
  </si>
  <si>
    <t>Trichogramma</t>
  </si>
  <si>
    <t>UREA</t>
  </si>
  <si>
    <t>Superficie de Hoja</t>
  </si>
  <si>
    <t>Demonstración del Costo de Labores culturales Caña Soca</t>
  </si>
  <si>
    <t>Triple en uno Aplic. Fertilizante</t>
  </si>
  <si>
    <t>Urea</t>
  </si>
  <si>
    <t>KCL</t>
  </si>
  <si>
    <t>Aplicación yeso agricola</t>
  </si>
  <si>
    <t xml:space="preserve">Fumigación </t>
  </si>
  <si>
    <t>Hexar</t>
  </si>
  <si>
    <t>Flumiomax</t>
  </si>
  <si>
    <t>MERLIN (Isoxaflutole)</t>
  </si>
  <si>
    <t>Aplicación foliar</t>
  </si>
  <si>
    <t>Ha.</t>
  </si>
  <si>
    <t>Fertilizante foliar Boro+Zinc</t>
  </si>
  <si>
    <t>Superficie de Soca</t>
  </si>
  <si>
    <t>Demonstración del Costo Cosecha 1 Ton</t>
  </si>
  <si>
    <t>Precio (B$)</t>
  </si>
  <si>
    <t>Corte mecanizado</t>
  </si>
  <si>
    <t>T</t>
  </si>
  <si>
    <t>Trasporte</t>
  </si>
  <si>
    <t>Soca</t>
  </si>
  <si>
    <t>Costo siembra (Ha.)</t>
  </si>
  <si>
    <t>Costo caña hoja (Ha.)</t>
  </si>
  <si>
    <t>Costo Caña Soca (Ha.)</t>
  </si>
  <si>
    <t>Costo Corte-Transporte ($/t.)</t>
  </si>
  <si>
    <t>$/pol</t>
  </si>
  <si>
    <t>Precio Tonelada (°12 Pol)</t>
  </si>
  <si>
    <t>Corte</t>
  </si>
  <si>
    <t>Preparo Suelo</t>
  </si>
  <si>
    <t>Hoja</t>
  </si>
  <si>
    <t>Promedio</t>
  </si>
  <si>
    <t>Balance</t>
  </si>
  <si>
    <t>Costo Flujo</t>
  </si>
  <si>
    <t>Utilidad</t>
  </si>
  <si>
    <t>Año 1</t>
  </si>
  <si>
    <t>Año 2</t>
  </si>
  <si>
    <t>Año 3</t>
  </si>
  <si>
    <t>Año 4</t>
  </si>
  <si>
    <t>Año 5</t>
  </si>
  <si>
    <t>Año 6</t>
  </si>
  <si>
    <t>24/25</t>
  </si>
  <si>
    <t>25/26</t>
  </si>
  <si>
    <t>26/27</t>
  </si>
  <si>
    <t>27/28</t>
  </si>
  <si>
    <t>28/29</t>
  </si>
  <si>
    <t>29/30</t>
  </si>
  <si>
    <t>Ingreso $/T.</t>
  </si>
  <si>
    <t>Eliminacion de Soca</t>
  </si>
  <si>
    <t>$/ha.</t>
  </si>
  <si>
    <t>Rastra pesada</t>
  </si>
  <si>
    <t>Item Adicional</t>
  </si>
  <si>
    <t>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</si>
</sst>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5C]* #,##0.00_-;\-[$$-45C]* #,##0.00_-;_-[$$-45C]* &quot;-&quot;??_-;_-@_-"/>
    <numFmt numFmtId="167" formatCode="[$$-45C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7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DE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6" xfId="0" applyBorder="1"/>
    <xf numFmtId="0" fontId="0" fillId="3" borderId="0" xfId="0" applyFill="1"/>
    <xf numFmtId="0" fontId="4" fillId="2" borderId="0" xfId="0" applyFont="1" applyFill="1"/>
    <xf numFmtId="165" fontId="4" fillId="2" borderId="0" xfId="2" applyNumberFormat="1" applyFont="1" applyFill="1"/>
    <xf numFmtId="0" fontId="5" fillId="2" borderId="0" xfId="0" applyFont="1" applyFill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165" fontId="5" fillId="5" borderId="19" xfId="2" applyNumberFormat="1" applyFont="1" applyFill="1" applyBorder="1" applyAlignment="1">
      <alignment horizontal="center"/>
    </xf>
    <xf numFmtId="165" fontId="5" fillId="5" borderId="2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3" fillId="2" borderId="6" xfId="0" applyFont="1" applyFill="1" applyBorder="1"/>
    <xf numFmtId="165" fontId="3" fillId="2" borderId="21" xfId="2" applyNumberFormat="1" applyFont="1" applyFill="1" applyBorder="1"/>
    <xf numFmtId="165" fontId="3" fillId="2" borderId="0" xfId="2" applyNumberFormat="1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164" fontId="3" fillId="2" borderId="7" xfId="3" applyFont="1" applyFill="1" applyBorder="1"/>
    <xf numFmtId="43" fontId="0" fillId="0" borderId="0" xfId="0" applyNumberFormat="1"/>
    <xf numFmtId="165" fontId="0" fillId="0" borderId="0" xfId="0" applyNumberFormat="1"/>
    <xf numFmtId="0" fontId="0" fillId="0" borderId="7" xfId="0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0" fillId="0" borderId="17" xfId="0" applyBorder="1"/>
    <xf numFmtId="0" fontId="3" fillId="3" borderId="6" xfId="0" applyFont="1" applyFill="1" applyBorder="1"/>
    <xf numFmtId="0" fontId="0" fillId="0" borderId="23" xfId="0" applyBorder="1"/>
    <xf numFmtId="9" fontId="3" fillId="2" borderId="0" xfId="1" applyFont="1" applyFill="1" applyBorder="1"/>
    <xf numFmtId="0" fontId="0" fillId="0" borderId="6" xfId="0" applyBorder="1"/>
    <xf numFmtId="164" fontId="0" fillId="0" borderId="7" xfId="3" applyFont="1" applyBorder="1"/>
    <xf numFmtId="165" fontId="3" fillId="0" borderId="7" xfId="2" applyNumberFormat="1" applyFont="1" applyFill="1" applyBorder="1"/>
    <xf numFmtId="164" fontId="3" fillId="0" borderId="7" xfId="3" applyFont="1" applyFill="1" applyBorder="1"/>
    <xf numFmtId="0" fontId="5" fillId="5" borderId="6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left"/>
    </xf>
    <xf numFmtId="165" fontId="3" fillId="5" borderId="7" xfId="2" applyNumberFormat="1" applyFont="1" applyFill="1" applyBorder="1"/>
    <xf numFmtId="164" fontId="5" fillId="5" borderId="7" xfId="3" applyFont="1" applyFill="1" applyBorder="1"/>
    <xf numFmtId="165" fontId="5" fillId="0" borderId="0" xfId="2" applyNumberFormat="1" applyFont="1" applyFill="1" applyBorder="1"/>
    <xf numFmtId="0" fontId="6" fillId="10" borderId="8" xfId="0" applyFont="1" applyFill="1" applyBorder="1"/>
    <xf numFmtId="2" fontId="6" fillId="10" borderId="25" xfId="0" applyNumberFormat="1" applyFont="1" applyFill="1" applyBorder="1"/>
    <xf numFmtId="0" fontId="6" fillId="10" borderId="25" xfId="0" applyFont="1" applyFill="1" applyBorder="1"/>
    <xf numFmtId="165" fontId="6" fillId="10" borderId="25" xfId="2" applyNumberFormat="1" applyFont="1" applyFill="1" applyBorder="1"/>
    <xf numFmtId="164" fontId="5" fillId="10" borderId="25" xfId="3" applyFont="1" applyFill="1" applyBorder="1"/>
    <xf numFmtId="0" fontId="5" fillId="5" borderId="27" xfId="0" applyFont="1" applyFill="1" applyBorder="1" applyAlignment="1">
      <alignment horizontal="center"/>
    </xf>
    <xf numFmtId="165" fontId="5" fillId="5" borderId="28" xfId="2" applyNumberFormat="1" applyFont="1" applyFill="1" applyBorder="1" applyAlignment="1">
      <alignment horizontal="center"/>
    </xf>
    <xf numFmtId="165" fontId="5" fillId="5" borderId="30" xfId="2" applyNumberFormat="1" applyFont="1" applyFill="1" applyBorder="1" applyAlignment="1">
      <alignment horizontal="center"/>
    </xf>
    <xf numFmtId="2" fontId="0" fillId="0" borderId="7" xfId="0" applyNumberFormat="1" applyBorder="1"/>
    <xf numFmtId="2" fontId="0" fillId="0" borderId="0" xfId="0" applyNumberFormat="1"/>
    <xf numFmtId="2" fontId="7" fillId="0" borderId="7" xfId="0" applyNumberFormat="1" applyFont="1" applyBorder="1"/>
    <xf numFmtId="165" fontId="3" fillId="2" borderId="22" xfId="2" applyNumberFormat="1" applyFont="1" applyFill="1" applyBorder="1"/>
    <xf numFmtId="0" fontId="5" fillId="5" borderId="31" xfId="0" applyFont="1" applyFill="1" applyBorder="1"/>
    <xf numFmtId="0" fontId="3" fillId="5" borderId="32" xfId="0" applyFont="1" applyFill="1" applyBorder="1"/>
    <xf numFmtId="0" fontId="3" fillId="5" borderId="32" xfId="0" applyFont="1" applyFill="1" applyBorder="1" applyAlignment="1">
      <alignment horizontal="left"/>
    </xf>
    <xf numFmtId="165" fontId="3" fillId="5" borderId="11" xfId="2" applyNumberFormat="1" applyFont="1" applyFill="1" applyBorder="1"/>
    <xf numFmtId="164" fontId="5" fillId="5" borderId="26" xfId="3" applyFont="1" applyFill="1" applyBorder="1"/>
    <xf numFmtId="0" fontId="6" fillId="10" borderId="23" xfId="0" applyFont="1" applyFill="1" applyBorder="1"/>
    <xf numFmtId="0" fontId="6" fillId="10" borderId="32" xfId="0" applyFont="1" applyFill="1" applyBorder="1"/>
    <xf numFmtId="165" fontId="6" fillId="10" borderId="32" xfId="2" applyNumberFormat="1" applyFont="1" applyFill="1" applyBorder="1"/>
    <xf numFmtId="164" fontId="5" fillId="10" borderId="33" xfId="3" applyFont="1" applyFill="1" applyBorder="1"/>
    <xf numFmtId="165" fontId="3" fillId="2" borderId="12" xfId="2" applyNumberFormat="1" applyFont="1" applyFill="1" applyBorder="1"/>
    <xf numFmtId="164" fontId="0" fillId="0" borderId="7" xfId="3" applyFont="1" applyFill="1" applyBorder="1"/>
    <xf numFmtId="0" fontId="0" fillId="0" borderId="21" xfId="0" applyBorder="1"/>
    <xf numFmtId="43" fontId="0" fillId="0" borderId="21" xfId="0" applyNumberFormat="1" applyBorder="1"/>
    <xf numFmtId="0" fontId="0" fillId="0" borderId="33" xfId="0" applyBorder="1"/>
    <xf numFmtId="0" fontId="3" fillId="2" borderId="0" xfId="0" applyFont="1" applyFill="1"/>
    <xf numFmtId="165" fontId="3" fillId="2" borderId="0" xfId="2" applyNumberFormat="1" applyFont="1" applyFill="1"/>
    <xf numFmtId="0" fontId="0" fillId="0" borderId="18" xfId="0" applyBorder="1"/>
    <xf numFmtId="0" fontId="0" fillId="0" borderId="19" xfId="0" applyBorder="1"/>
    <xf numFmtId="164" fontId="0" fillId="0" borderId="20" xfId="3" applyFont="1" applyBorder="1"/>
    <xf numFmtId="43" fontId="0" fillId="0" borderId="0" xfId="2" applyFont="1"/>
    <xf numFmtId="164" fontId="0" fillId="0" borderId="21" xfId="3" applyFont="1" applyBorder="1"/>
    <xf numFmtId="0" fontId="5" fillId="5" borderId="8" xfId="0" applyFont="1" applyFill="1" applyBorder="1"/>
    <xf numFmtId="0" fontId="3" fillId="5" borderId="25" xfId="0" applyFont="1" applyFill="1" applyBorder="1"/>
    <xf numFmtId="0" fontId="3" fillId="5" borderId="25" xfId="0" applyFont="1" applyFill="1" applyBorder="1" applyAlignment="1">
      <alignment horizontal="left"/>
    </xf>
    <xf numFmtId="165" fontId="3" fillId="5" borderId="25" xfId="2" applyNumberFormat="1" applyFont="1" applyFill="1" applyBorder="1"/>
    <xf numFmtId="164" fontId="5" fillId="5" borderId="33" xfId="3" applyFont="1" applyFill="1" applyBorder="1"/>
    <xf numFmtId="164" fontId="5" fillId="10" borderId="26" xfId="3" applyFont="1" applyFill="1" applyBorder="1"/>
    <xf numFmtId="165" fontId="5" fillId="5" borderId="0" xfId="2" applyNumberFormat="1" applyFont="1" applyFill="1" applyBorder="1" applyAlignment="1">
      <alignment horizontal="center"/>
    </xf>
    <xf numFmtId="2" fontId="3" fillId="6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/>
    </xf>
    <xf numFmtId="2" fontId="3" fillId="12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11" borderId="17" xfId="0" applyFill="1" applyBorder="1"/>
    <xf numFmtId="0" fontId="8" fillId="0" borderId="15" xfId="0" applyFont="1" applyBorder="1" applyAlignment="1">
      <alignment horizontal="center"/>
    </xf>
    <xf numFmtId="9" fontId="0" fillId="0" borderId="16" xfId="1" applyFont="1" applyBorder="1"/>
    <xf numFmtId="0" fontId="0" fillId="11" borderId="36" xfId="0" applyFill="1" applyBorder="1"/>
    <xf numFmtId="166" fontId="0" fillId="0" borderId="37" xfId="0" applyNumberFormat="1" applyBorder="1"/>
    <xf numFmtId="0" fontId="0" fillId="7" borderId="38" xfId="0" applyFill="1" applyBorder="1"/>
    <xf numFmtId="166" fontId="0" fillId="0" borderId="39" xfId="0" applyNumberFormat="1" applyBorder="1"/>
    <xf numFmtId="0" fontId="0" fillId="0" borderId="40" xfId="0" applyBorder="1"/>
    <xf numFmtId="0" fontId="0" fillId="9" borderId="36" xfId="0" applyFill="1" applyBorder="1"/>
    <xf numFmtId="0" fontId="0" fillId="0" borderId="35" xfId="0" applyBorder="1"/>
    <xf numFmtId="0" fontId="0" fillId="0" borderId="41" xfId="0" applyBorder="1"/>
    <xf numFmtId="2" fontId="0" fillId="14" borderId="7" xfId="0" applyNumberFormat="1" applyFill="1" applyBorder="1"/>
    <xf numFmtId="2" fontId="0" fillId="0" borderId="7" xfId="0" applyNumberFormat="1" applyBorder="1" applyAlignment="1">
      <alignment horizontal="center"/>
    </xf>
    <xf numFmtId="166" fontId="0" fillId="0" borderId="7" xfId="0" applyNumberFormat="1" applyBorder="1"/>
    <xf numFmtId="2" fontId="0" fillId="3" borderId="0" xfId="0" applyNumberFormat="1" applyFill="1"/>
    <xf numFmtId="166" fontId="0" fillId="3" borderId="0" xfId="0" applyNumberFormat="1" applyFill="1"/>
    <xf numFmtId="0" fontId="0" fillId="3" borderId="0" xfId="0" applyFill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164" fontId="0" fillId="0" borderId="32" xfId="0" applyNumberFormat="1" applyBorder="1" applyAlignment="1">
      <alignment horizontal="center"/>
    </xf>
    <xf numFmtId="164" fontId="0" fillId="15" borderId="0" xfId="0" applyNumberFormat="1" applyFill="1"/>
    <xf numFmtId="164" fontId="0" fillId="0" borderId="39" xfId="0" applyNumberFormat="1" applyBorder="1" applyAlignment="1">
      <alignment horizontal="center"/>
    </xf>
    <xf numFmtId="9" fontId="0" fillId="0" borderId="0" xfId="1" applyFont="1" applyBorder="1"/>
    <xf numFmtId="166" fontId="0" fillId="0" borderId="0" xfId="0" applyNumberFormat="1"/>
    <xf numFmtId="166" fontId="0" fillId="0" borderId="19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166" fontId="0" fillId="0" borderId="25" xfId="0" applyNumberFormat="1" applyBorder="1"/>
    <xf numFmtId="167" fontId="0" fillId="0" borderId="33" xfId="0" applyNumberFormat="1" applyBorder="1"/>
    <xf numFmtId="0" fontId="0" fillId="12" borderId="6" xfId="0" applyFill="1" applyBorder="1"/>
    <xf numFmtId="0" fontId="0" fillId="12" borderId="8" xfId="0" applyFill="1" applyBorder="1"/>
    <xf numFmtId="0" fontId="0" fillId="9" borderId="6" xfId="0" applyFill="1" applyBorder="1"/>
    <xf numFmtId="0" fontId="0" fillId="9" borderId="8" xfId="0" applyFill="1" applyBorder="1"/>
    <xf numFmtId="0" fontId="0" fillId="8" borderId="1" xfId="0" applyFill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0" xfId="0" applyFont="1" applyBorder="1" applyAlignment="1">
      <alignment horizontal="center"/>
    </xf>
    <xf numFmtId="0" fontId="0" fillId="4" borderId="17" xfId="0" applyFill="1" applyBorder="1"/>
    <xf numFmtId="164" fontId="0" fillId="0" borderId="2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12" borderId="18" xfId="0" applyFill="1" applyBorder="1" applyAlignment="1">
      <alignment horizontal="left"/>
    </xf>
    <xf numFmtId="2" fontId="0" fillId="12" borderId="0" xfId="0" applyNumberFormat="1" applyFill="1"/>
    <xf numFmtId="164" fontId="10" fillId="0" borderId="2" xfId="4" applyFont="1" applyBorder="1" applyAlignment="1">
      <alignment horizontal="center"/>
    </xf>
    <xf numFmtId="164" fontId="10" fillId="0" borderId="13" xfId="4" applyFont="1" applyBorder="1" applyAlignment="1">
      <alignment horizontal="center"/>
    </xf>
    <xf numFmtId="164" fontId="10" fillId="0" borderId="3" xfId="4" applyFont="1" applyBorder="1" applyAlignment="1">
      <alignment horizontal="center"/>
    </xf>
    <xf numFmtId="166" fontId="0" fillId="0" borderId="42" xfId="0" applyNumberFormat="1" applyBorder="1"/>
    <xf numFmtId="167" fontId="0" fillId="0" borderId="46" xfId="0" applyNumberFormat="1" applyBorder="1"/>
    <xf numFmtId="0" fontId="0" fillId="0" borderId="48" xfId="0" applyBorder="1"/>
    <xf numFmtId="0" fontId="0" fillId="9" borderId="9" xfId="0" applyFill="1" applyBorder="1"/>
    <xf numFmtId="2" fontId="0" fillId="0" borderId="41" xfId="0" applyNumberFormat="1" applyBorder="1"/>
    <xf numFmtId="2" fontId="0" fillId="0" borderId="50" xfId="0" applyNumberFormat="1" applyBorder="1"/>
    <xf numFmtId="0" fontId="0" fillId="0" borderId="12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0" xfId="1" applyFont="1"/>
    <xf numFmtId="164" fontId="0" fillId="0" borderId="15" xfId="0" applyNumberFormat="1" applyBorder="1" applyAlignment="1">
      <alignment horizontal="center"/>
    </xf>
    <xf numFmtId="2" fontId="0" fillId="0" borderId="7" xfId="1" applyNumberFormat="1" applyFont="1" applyBorder="1"/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165" fontId="3" fillId="2" borderId="24" xfId="2" applyNumberFormat="1" applyFont="1" applyFill="1" applyBorder="1"/>
    <xf numFmtId="0" fontId="11" fillId="0" borderId="6" xfId="0" applyFont="1" applyBorder="1"/>
    <xf numFmtId="0" fontId="11" fillId="0" borderId="7" xfId="0" applyFont="1" applyBorder="1"/>
    <xf numFmtId="166" fontId="11" fillId="0" borderId="0" xfId="0" applyNumberFormat="1" applyFont="1"/>
    <xf numFmtId="166" fontId="11" fillId="0" borderId="22" xfId="0" applyNumberFormat="1" applyFont="1" applyBorder="1"/>
    <xf numFmtId="166" fontId="11" fillId="0" borderId="39" xfId="0" applyNumberFormat="1" applyFont="1" applyBorder="1"/>
    <xf numFmtId="165" fontId="13" fillId="5" borderId="0" xfId="2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65" fontId="3" fillId="2" borderId="24" xfId="2" applyNumberFormat="1" applyFont="1" applyFill="1" applyBorder="1" applyAlignment="1">
      <alignment horizontal="center"/>
    </xf>
    <xf numFmtId="165" fontId="3" fillId="2" borderId="26" xfId="2" applyNumberFormat="1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0" fillId="13" borderId="41" xfId="0" applyFill="1" applyBorder="1" applyAlignment="1">
      <alignment horizontal="center" vertical="center" textRotation="180"/>
    </xf>
    <xf numFmtId="0" fontId="0" fillId="13" borderId="44" xfId="0" applyFill="1" applyBorder="1" applyAlignment="1">
      <alignment horizontal="center" vertical="center" textRotation="180"/>
    </xf>
    <xf numFmtId="0" fontId="0" fillId="13" borderId="42" xfId="0" applyFill="1" applyBorder="1" applyAlignment="1">
      <alignment horizontal="center" vertical="center" textRotation="180"/>
    </xf>
    <xf numFmtId="0" fontId="5" fillId="2" borderId="4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13" borderId="7" xfId="0" applyFill="1" applyBorder="1" applyAlignment="1">
      <alignment horizontal="center" vertical="center" textRotation="180"/>
    </xf>
    <xf numFmtId="0" fontId="5" fillId="2" borderId="17" xfId="0" applyFont="1" applyFill="1" applyBorder="1" applyAlignment="1">
      <alignment horizontal="center"/>
    </xf>
    <xf numFmtId="0" fontId="11" fillId="0" borderId="14" xfId="0" applyFont="1" applyBorder="1"/>
    <xf numFmtId="164" fontId="0" fillId="0" borderId="49" xfId="3" applyFont="1" applyBorder="1"/>
    <xf numFmtId="164" fontId="3" fillId="2" borderId="41" xfId="3" applyFont="1" applyFill="1" applyBorder="1"/>
    <xf numFmtId="165" fontId="3" fillId="0" borderId="42" xfId="2" applyNumberFormat="1" applyFont="1" applyFill="1" applyBorder="1"/>
    <xf numFmtId="164" fontId="12" fillId="2" borderId="52" xfId="3" applyFont="1" applyFill="1" applyBorder="1"/>
    <xf numFmtId="9" fontId="0" fillId="0" borderId="22" xfId="1" applyFont="1" applyBorder="1"/>
    <xf numFmtId="0" fontId="8" fillId="0" borderId="4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6" fontId="0" fillId="0" borderId="53" xfId="0" applyNumberFormat="1" applyBorder="1"/>
    <xf numFmtId="166" fontId="0" fillId="0" borderId="54" xfId="0" applyNumberFormat="1" applyBorder="1"/>
    <xf numFmtId="166" fontId="0" fillId="0" borderId="55" xfId="0" applyNumberFormat="1" applyBorder="1"/>
    <xf numFmtId="166" fontId="0" fillId="0" borderId="56" xfId="0" applyNumberFormat="1" applyBorder="1"/>
    <xf numFmtId="166" fontId="0" fillId="0" borderId="57" xfId="0" applyNumberFormat="1" applyBorder="1"/>
    <xf numFmtId="166" fontId="0" fillId="0" borderId="58" xfId="0" applyNumberFormat="1" applyBorder="1"/>
    <xf numFmtId="0" fontId="0" fillId="0" borderId="51" xfId="0" applyBorder="1"/>
    <xf numFmtId="0" fontId="0" fillId="0" borderId="59" xfId="0" applyBorder="1"/>
    <xf numFmtId="164" fontId="0" fillId="0" borderId="55" xfId="0" applyNumberFormat="1" applyBorder="1"/>
    <xf numFmtId="164" fontId="0" fillId="0" borderId="53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166" fontId="0" fillId="0" borderId="60" xfId="0" applyNumberFormat="1" applyBorder="1"/>
    <xf numFmtId="166" fontId="0" fillId="0" borderId="61" xfId="0" applyNumberFormat="1" applyBorder="1"/>
    <xf numFmtId="166" fontId="0" fillId="0" borderId="62" xfId="0" applyNumberFormat="1" applyBorder="1"/>
    <xf numFmtId="166" fontId="0" fillId="0" borderId="63" xfId="0" applyNumberFormat="1" applyBorder="1"/>
    <xf numFmtId="166" fontId="0" fillId="0" borderId="64" xfId="0" applyNumberFormat="1" applyBorder="1"/>
    <xf numFmtId="166" fontId="0" fillId="0" borderId="65" xfId="0" applyNumberFormat="1" applyBorder="1"/>
    <xf numFmtId="166" fontId="0" fillId="0" borderId="66" xfId="0" applyNumberFormat="1" applyBorder="1"/>
    <xf numFmtId="166" fontId="0" fillId="0" borderId="67" xfId="0" applyNumberFormat="1" applyBorder="1"/>
  </cellXfs>
  <cellStyles count="5">
    <cellStyle name="Millares 2" xfId="2" xr:uid="{A5F37536-8FC3-49CE-A106-5F670672B85E}"/>
    <cellStyle name="Moneda" xfId="4" builtinId="4"/>
    <cellStyle name="Moneda 2" xfId="3" xr:uid="{A0E96921-EC69-408B-85A5-4BA12B66C67C}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4357DF21-ADE6-40BA-92C4-A628B12F75D1}"/>
  </tableStyles>
  <colors>
    <mruColors>
      <color rgb="FFF73B3B"/>
      <color rgb="FF963932"/>
      <color rgb="FF31DE6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5805-ABFD-4020-AE1D-90E129E98A46}">
  <sheetPr>
    <tabColor theme="7"/>
  </sheetPr>
  <dimension ref="B1:X74"/>
  <sheetViews>
    <sheetView showGridLines="0" tabSelected="1" topLeftCell="A9" zoomScale="130" zoomScaleNormal="130" workbookViewId="0">
      <selection activeCell="K30" sqref="K30"/>
    </sheetView>
  </sheetViews>
  <sheetFormatPr baseColWidth="10" defaultColWidth="9.109375" defaultRowHeight="14.4" outlineLevelCol="1" x14ac:dyDescent="0.3"/>
  <cols>
    <col min="1" max="1" width="3.44140625" customWidth="1"/>
    <col min="2" max="2" width="31.44140625" bestFit="1" customWidth="1"/>
    <col min="3" max="3" width="11.109375" bestFit="1" customWidth="1"/>
    <col min="4" max="4" width="8.33203125" customWidth="1"/>
    <col min="5" max="5" width="20.44140625" customWidth="1"/>
    <col min="6" max="6" width="14.33203125" bestFit="1" customWidth="1"/>
    <col min="7" max="8" width="12.5546875" customWidth="1"/>
    <col min="9" max="9" width="3.88671875" customWidth="1" outlineLevel="1"/>
    <col min="10" max="10" width="28.33203125" customWidth="1" outlineLevel="1"/>
    <col min="11" max="11" width="15" customWidth="1" outlineLevel="1"/>
    <col min="12" max="12" width="11.33203125" customWidth="1" outlineLevel="1"/>
    <col min="13" max="13" width="14" customWidth="1" outlineLevel="1"/>
    <col min="14" max="14" width="12.21875" customWidth="1" outlineLevel="1"/>
    <col min="15" max="16" width="10.44140625" customWidth="1" outlineLevel="1"/>
    <col min="17" max="17" width="11.77734375" customWidth="1" outlineLevel="1"/>
    <col min="18" max="18" width="10.6640625" customWidth="1" outlineLevel="1"/>
    <col min="19" max="19" width="11.21875" customWidth="1" outlineLevel="1"/>
    <col min="20" max="21" width="10.6640625" customWidth="1" outlineLevel="1"/>
    <col min="22" max="22" width="10.33203125" customWidth="1" outlineLevel="1"/>
    <col min="23" max="23" width="11.6640625" customWidth="1" outlineLevel="1"/>
    <col min="24" max="24" width="9.109375" customWidth="1" outlineLevel="1"/>
  </cols>
  <sheetData>
    <row r="1" spans="2:23" ht="15.6" x14ac:dyDescent="0.3">
      <c r="B1" s="3"/>
      <c r="C1" s="3"/>
      <c r="D1" s="3"/>
      <c r="E1" s="4"/>
    </row>
    <row r="2" spans="2:23" ht="15" thickBot="1" x14ac:dyDescent="0.35">
      <c r="B2" s="152" t="s">
        <v>0</v>
      </c>
      <c r="C2" s="152"/>
      <c r="D2" s="152"/>
      <c r="E2" s="152"/>
      <c r="F2" s="152"/>
      <c r="J2" s="151" t="s">
        <v>92</v>
      </c>
      <c r="K2" s="106">
        <f>+F25</f>
        <v>947.80500000000006</v>
      </c>
      <c r="N2" s="120" t="s">
        <v>105</v>
      </c>
      <c r="O2" s="120" t="s">
        <v>106</v>
      </c>
      <c r="P2" s="120" t="s">
        <v>107</v>
      </c>
      <c r="Q2" s="120" t="s">
        <v>108</v>
      </c>
      <c r="R2" s="120" t="s">
        <v>109</v>
      </c>
      <c r="S2" s="120" t="s">
        <v>110</v>
      </c>
      <c r="T2" s="120" t="s">
        <v>101</v>
      </c>
    </row>
    <row r="3" spans="2:23" x14ac:dyDescent="0.3">
      <c r="B3" s="152"/>
      <c r="C3" s="152"/>
      <c r="D3" s="152"/>
      <c r="E3" s="152"/>
      <c r="F3" s="152"/>
      <c r="J3" s="151" t="s">
        <v>93</v>
      </c>
      <c r="K3" s="106">
        <f>+F42</f>
        <v>270.03129999999999</v>
      </c>
      <c r="M3" s="65" t="s">
        <v>2</v>
      </c>
      <c r="N3" s="66">
        <v>0</v>
      </c>
      <c r="O3" s="66">
        <v>100</v>
      </c>
      <c r="P3" s="66">
        <f>+O3*0.9</f>
        <v>90</v>
      </c>
      <c r="Q3" s="66">
        <v>80</v>
      </c>
      <c r="R3" s="66">
        <v>70</v>
      </c>
      <c r="S3" s="66">
        <v>60</v>
      </c>
      <c r="T3" s="103">
        <f>+AVERAGE(O3:S3)</f>
        <v>80</v>
      </c>
    </row>
    <row r="4" spans="2:23" ht="15" thickBot="1" x14ac:dyDescent="0.35">
      <c r="B4" s="152"/>
      <c r="C4" s="152"/>
      <c r="D4" s="152"/>
      <c r="E4" s="152"/>
      <c r="F4" s="152"/>
      <c r="J4" s="151" t="s">
        <v>94</v>
      </c>
      <c r="K4" s="106">
        <f>+F64</f>
        <v>470.96445</v>
      </c>
      <c r="M4" s="133" t="s">
        <v>12</v>
      </c>
      <c r="N4" s="93"/>
      <c r="O4" s="93">
        <v>12</v>
      </c>
      <c r="P4" s="93">
        <v>12.5</v>
      </c>
      <c r="Q4" s="93">
        <v>12.5</v>
      </c>
      <c r="R4" s="135">
        <v>12.785813681137794</v>
      </c>
      <c r="S4" s="135">
        <v>13</v>
      </c>
      <c r="T4" s="136">
        <f>+AVERAGE(O4:S4)</f>
        <v>12.557162736227559</v>
      </c>
    </row>
    <row r="5" spans="2:23" x14ac:dyDescent="0.3">
      <c r="B5" s="6" t="s">
        <v>4</v>
      </c>
      <c r="C5" s="153" t="s">
        <v>5</v>
      </c>
      <c r="D5" s="153"/>
      <c r="E5" s="8" t="s">
        <v>6</v>
      </c>
      <c r="F5" s="8" t="s">
        <v>7</v>
      </c>
      <c r="G5" s="9" t="s">
        <v>8</v>
      </c>
      <c r="H5" s="10"/>
      <c r="I5" s="10"/>
      <c r="J5" s="151" t="s">
        <v>95</v>
      </c>
      <c r="K5" s="106">
        <f>+F73</f>
        <v>8.4499999999999993</v>
      </c>
      <c r="M5" s="126" t="s">
        <v>99</v>
      </c>
      <c r="N5" s="110">
        <f>+K2</f>
        <v>947.80500000000006</v>
      </c>
      <c r="O5" s="110"/>
      <c r="P5" s="110"/>
      <c r="Q5" s="110"/>
      <c r="R5" s="110"/>
      <c r="S5" s="110"/>
      <c r="T5" s="111">
        <f>+N5/5</f>
        <v>189.56100000000001</v>
      </c>
    </row>
    <row r="6" spans="2:23" x14ac:dyDescent="0.3">
      <c r="B6" s="11" t="s">
        <v>10</v>
      </c>
      <c r="C6" s="14">
        <v>5</v>
      </c>
      <c r="D6" s="15" t="s">
        <v>11</v>
      </c>
      <c r="E6" s="16">
        <v>7</v>
      </c>
      <c r="F6" s="16">
        <f>+E6*C6</f>
        <v>35</v>
      </c>
      <c r="G6" s="12">
        <f>+C6*$C$26</f>
        <v>500</v>
      </c>
      <c r="H6" s="13"/>
      <c r="M6" s="115" t="s">
        <v>100</v>
      </c>
      <c r="N6" s="96">
        <f>+K3</f>
        <v>270.03129999999999</v>
      </c>
      <c r="O6" s="96"/>
      <c r="P6" s="96"/>
      <c r="Q6" s="96"/>
      <c r="R6" s="96"/>
      <c r="S6" s="96"/>
      <c r="T6" s="112">
        <f>+N6/5</f>
        <v>54.006259999999997</v>
      </c>
    </row>
    <row r="7" spans="2:23" x14ac:dyDescent="0.3">
      <c r="B7" s="11" t="s">
        <v>13</v>
      </c>
      <c r="C7" s="14">
        <v>2</v>
      </c>
      <c r="D7" s="15" t="s">
        <v>14</v>
      </c>
      <c r="E7" s="16">
        <v>40</v>
      </c>
      <c r="F7" s="16">
        <f>+E7*C7</f>
        <v>80</v>
      </c>
      <c r="G7" s="12"/>
      <c r="H7" s="13"/>
      <c r="J7" s="76" t="s">
        <v>1</v>
      </c>
      <c r="K7" s="78">
        <v>500</v>
      </c>
      <c r="M7" s="115" t="s">
        <v>98</v>
      </c>
      <c r="N7" s="96"/>
      <c r="O7" s="96">
        <f>+O3*$K$5</f>
        <v>844.99999999999989</v>
      </c>
      <c r="P7" s="96">
        <f>+P3*$K$5</f>
        <v>760.49999999999989</v>
      </c>
      <c r="Q7" s="96">
        <f>+Q3*$K$5</f>
        <v>676</v>
      </c>
      <c r="R7" s="96">
        <f>+R3*$K$5</f>
        <v>591.5</v>
      </c>
      <c r="S7" s="96">
        <f>+S3*$K$5</f>
        <v>506.99999999999994</v>
      </c>
      <c r="T7" s="112">
        <f>+SUM(N7:S7)/5</f>
        <v>676</v>
      </c>
      <c r="W7" s="120"/>
    </row>
    <row r="8" spans="2:23" ht="15" thickBot="1" x14ac:dyDescent="0.35">
      <c r="B8" s="11" t="s">
        <v>15</v>
      </c>
      <c r="C8" s="14">
        <v>1</v>
      </c>
      <c r="D8" s="15" t="s">
        <v>14</v>
      </c>
      <c r="E8" s="16">
        <v>32</v>
      </c>
      <c r="F8" s="16">
        <f>+E8*C8</f>
        <v>32</v>
      </c>
      <c r="G8" s="12"/>
      <c r="H8" s="13"/>
      <c r="I8" s="17"/>
      <c r="J8" s="76" t="s">
        <v>2</v>
      </c>
      <c r="K8" s="79">
        <v>80</v>
      </c>
      <c r="M8" s="116" t="s">
        <v>91</v>
      </c>
      <c r="N8" s="113"/>
      <c r="O8" s="113">
        <f>+$K$4</f>
        <v>470.96445</v>
      </c>
      <c r="P8" s="113">
        <f t="shared" ref="P8:R8" si="0">+$K$4</f>
        <v>470.96445</v>
      </c>
      <c r="Q8" s="113">
        <f t="shared" si="0"/>
        <v>470.96445</v>
      </c>
      <c r="R8" s="113">
        <f t="shared" si="0"/>
        <v>470.96445</v>
      </c>
      <c r="S8" s="113"/>
      <c r="T8" s="114">
        <f>+SUM(N8:S8)/5</f>
        <v>376.77156000000002</v>
      </c>
    </row>
    <row r="9" spans="2:23" x14ac:dyDescent="0.3">
      <c r="B9" s="11" t="s">
        <v>16</v>
      </c>
      <c r="C9" s="14">
        <v>1</v>
      </c>
      <c r="D9" s="15" t="s">
        <v>14</v>
      </c>
      <c r="E9" s="16">
        <v>20</v>
      </c>
      <c r="F9" s="16">
        <f>+E9*C9</f>
        <v>20</v>
      </c>
      <c r="G9" s="12"/>
      <c r="H9" s="13"/>
      <c r="I9" s="18"/>
      <c r="J9" s="76" t="s">
        <v>3</v>
      </c>
      <c r="K9" s="80">
        <v>10</v>
      </c>
      <c r="M9" s="134" t="s">
        <v>103</v>
      </c>
      <c r="N9" s="131">
        <f>SUM(N5:N8)</f>
        <v>1217.8362999999999</v>
      </c>
      <c r="O9" s="131">
        <f t="shared" ref="O9:S9" si="1">SUM(O5:O8)</f>
        <v>1315.9644499999999</v>
      </c>
      <c r="P9" s="131">
        <f t="shared" si="1"/>
        <v>1231.4644499999999</v>
      </c>
      <c r="Q9" s="131">
        <f t="shared" si="1"/>
        <v>1146.9644499999999</v>
      </c>
      <c r="R9" s="131">
        <f t="shared" si="1"/>
        <v>1062.4644499999999</v>
      </c>
      <c r="S9" s="131">
        <f t="shared" si="1"/>
        <v>506.99999999999994</v>
      </c>
      <c r="T9" s="132">
        <f>SUM(N9:S9)</f>
        <v>6481.6940999999988</v>
      </c>
    </row>
    <row r="10" spans="2:23" x14ac:dyDescent="0.3">
      <c r="B10" s="11" t="s">
        <v>22</v>
      </c>
      <c r="C10" s="14">
        <v>1</v>
      </c>
      <c r="D10" s="15" t="s">
        <v>14</v>
      </c>
      <c r="E10" s="16">
        <v>122</v>
      </c>
      <c r="F10" s="16">
        <v>122</v>
      </c>
      <c r="G10" s="12"/>
      <c r="H10" s="13"/>
      <c r="I10" s="17"/>
      <c r="J10" s="76" t="s">
        <v>9</v>
      </c>
      <c r="K10" s="77">
        <f>+K7*K8</f>
        <v>40000</v>
      </c>
      <c r="M10" s="117" t="s">
        <v>42</v>
      </c>
      <c r="N10" s="96">
        <v>0</v>
      </c>
      <c r="O10" s="96">
        <f>+O3*O4*$K$13</f>
        <v>2600</v>
      </c>
      <c r="P10" s="96">
        <f t="shared" ref="P10:S10" si="2">+P3*P4*$K$13</f>
        <v>2437.5</v>
      </c>
      <c r="Q10" s="96">
        <f t="shared" si="2"/>
        <v>2166.6666666666665</v>
      </c>
      <c r="R10" s="96">
        <f t="shared" si="2"/>
        <v>1939.1817416392319</v>
      </c>
      <c r="S10" s="96">
        <f t="shared" si="2"/>
        <v>1689.9999999999998</v>
      </c>
      <c r="T10" s="112">
        <f>SUM(N10:S10)</f>
        <v>10833.348408305897</v>
      </c>
    </row>
    <row r="11" spans="2:23" ht="15" thickBot="1" x14ac:dyDescent="0.35">
      <c r="B11" s="11" t="s">
        <v>24</v>
      </c>
      <c r="C11" s="14">
        <v>1</v>
      </c>
      <c r="D11" s="15" t="s">
        <v>14</v>
      </c>
      <c r="E11" s="16">
        <v>45</v>
      </c>
      <c r="F11" s="16">
        <f>+E11*C11</f>
        <v>45</v>
      </c>
      <c r="G11" s="12"/>
      <c r="H11" s="13"/>
      <c r="I11" s="18"/>
      <c r="J11" s="76" t="s">
        <v>12</v>
      </c>
      <c r="K11" s="127">
        <v>12.5</v>
      </c>
      <c r="M11" s="118" t="s">
        <v>104</v>
      </c>
      <c r="N11" s="113">
        <f>+N10-N9</f>
        <v>-1217.8362999999999</v>
      </c>
      <c r="O11" s="113">
        <f t="shared" ref="O11:S11" si="3">+O10-O9</f>
        <v>1284.0355500000001</v>
      </c>
      <c r="P11" s="113">
        <f t="shared" si="3"/>
        <v>1206.0355500000001</v>
      </c>
      <c r="Q11" s="113">
        <f t="shared" si="3"/>
        <v>1019.7022166666666</v>
      </c>
      <c r="R11" s="113">
        <f t="shared" si="3"/>
        <v>876.71729163923192</v>
      </c>
      <c r="S11" s="113">
        <f t="shared" si="3"/>
        <v>1182.9999999999998</v>
      </c>
      <c r="T11" s="114">
        <f>+T10-T9</f>
        <v>4351.6543083058987</v>
      </c>
    </row>
    <row r="12" spans="2:23" ht="16.2" thickBot="1" x14ac:dyDescent="0.35">
      <c r="B12" s="11" t="s">
        <v>25</v>
      </c>
      <c r="C12" s="14">
        <v>0.2</v>
      </c>
      <c r="D12" s="15" t="s">
        <v>26</v>
      </c>
      <c r="E12" s="16">
        <v>150</v>
      </c>
      <c r="F12" s="16">
        <f t="shared" ref="F12:F23" si="4">+E12*C12</f>
        <v>30</v>
      </c>
      <c r="G12" s="12">
        <f>+C12*$C$26</f>
        <v>20</v>
      </c>
      <c r="H12" s="13"/>
      <c r="I12" s="17"/>
      <c r="J12" s="76" t="s">
        <v>97</v>
      </c>
      <c r="K12" s="127">
        <v>26</v>
      </c>
      <c r="M12" s="119" t="s">
        <v>102</v>
      </c>
      <c r="N12" s="128">
        <f>+T11/5</f>
        <v>870.33086166117971</v>
      </c>
      <c r="O12" s="129"/>
      <c r="P12" s="129"/>
      <c r="Q12" s="129"/>
      <c r="R12" s="129"/>
      <c r="S12" s="129"/>
      <c r="T12" s="130"/>
    </row>
    <row r="13" spans="2:23" x14ac:dyDescent="0.3">
      <c r="B13" s="11" t="s">
        <v>28</v>
      </c>
      <c r="C13" s="14">
        <v>100</v>
      </c>
      <c r="D13" s="15" t="s">
        <v>29</v>
      </c>
      <c r="E13" s="16">
        <v>0.88</v>
      </c>
      <c r="F13" s="16">
        <f t="shared" si="4"/>
        <v>88</v>
      </c>
      <c r="G13" s="12">
        <f>+C13*$C$26</f>
        <v>10000</v>
      </c>
      <c r="H13" s="13"/>
      <c r="I13" s="17"/>
      <c r="J13" s="76" t="s">
        <v>96</v>
      </c>
      <c r="K13" s="77">
        <f>+K12/12</f>
        <v>2.1666666666666665</v>
      </c>
      <c r="O13" s="108"/>
    </row>
    <row r="14" spans="2:23" x14ac:dyDescent="0.3">
      <c r="B14" s="11" t="s">
        <v>31</v>
      </c>
      <c r="C14" s="19">
        <v>0.5</v>
      </c>
      <c r="D14" s="15" t="s">
        <v>11</v>
      </c>
      <c r="E14" s="16">
        <v>13.9</v>
      </c>
      <c r="F14" s="16">
        <f t="shared" si="4"/>
        <v>6.95</v>
      </c>
      <c r="G14" s="12">
        <f>+C14*$C$26</f>
        <v>50</v>
      </c>
      <c r="H14" s="13"/>
      <c r="I14" s="18"/>
    </row>
    <row r="15" spans="2:23" ht="15" thickBot="1" x14ac:dyDescent="0.35">
      <c r="B15" s="11" t="s">
        <v>33</v>
      </c>
      <c r="C15" s="14">
        <v>0.5</v>
      </c>
      <c r="D15" s="15" t="s">
        <v>11</v>
      </c>
      <c r="E15" s="16">
        <v>30</v>
      </c>
      <c r="F15" s="16">
        <f t="shared" si="4"/>
        <v>15</v>
      </c>
      <c r="G15" s="12">
        <f>+C15*$C$26</f>
        <v>50</v>
      </c>
      <c r="H15" s="13"/>
    </row>
    <row r="16" spans="2:23" ht="18" x14ac:dyDescent="0.35">
      <c r="B16" s="20" t="s">
        <v>35</v>
      </c>
      <c r="C16" s="21">
        <v>10</v>
      </c>
      <c r="D16" s="22" t="s">
        <v>36</v>
      </c>
      <c r="E16" s="16">
        <v>20</v>
      </c>
      <c r="F16" s="16">
        <f t="shared" si="4"/>
        <v>200</v>
      </c>
      <c r="G16" s="12">
        <f>+C16*$C$26</f>
        <v>1000</v>
      </c>
      <c r="H16" s="13"/>
      <c r="J16" s="81" t="s">
        <v>17</v>
      </c>
      <c r="K16" s="82" t="s">
        <v>18</v>
      </c>
      <c r="L16" s="174" t="s">
        <v>19</v>
      </c>
      <c r="M16" s="175" t="s">
        <v>20</v>
      </c>
      <c r="N16" s="84" t="s">
        <v>21</v>
      </c>
    </row>
    <row r="17" spans="2:24" x14ac:dyDescent="0.3">
      <c r="B17" s="24" t="s">
        <v>38</v>
      </c>
      <c r="C17" s="14">
        <v>1</v>
      </c>
      <c r="D17" s="15" t="s">
        <v>14</v>
      </c>
      <c r="E17" s="16">
        <v>50</v>
      </c>
      <c r="F17" s="16">
        <f t="shared" si="4"/>
        <v>50</v>
      </c>
      <c r="G17" s="12"/>
      <c r="H17" s="13"/>
      <c r="J17" s="83" t="s">
        <v>23</v>
      </c>
      <c r="K17" s="109">
        <f>+K2/5</f>
        <v>189.56100000000001</v>
      </c>
      <c r="L17" s="176"/>
      <c r="M17" s="177"/>
      <c r="N17" s="173">
        <f>+IFERROR(M17/$M$21,0)</f>
        <v>0</v>
      </c>
    </row>
    <row r="18" spans="2:24" x14ac:dyDescent="0.3">
      <c r="B18" s="11" t="s">
        <v>40</v>
      </c>
      <c r="C18" s="14">
        <v>10</v>
      </c>
      <c r="D18" s="15" t="s">
        <v>36</v>
      </c>
      <c r="E18" s="16">
        <v>3.5</v>
      </c>
      <c r="F18" s="16">
        <f t="shared" si="4"/>
        <v>35</v>
      </c>
      <c r="G18" s="12"/>
      <c r="H18" s="13"/>
      <c r="J18" s="83" t="s">
        <v>100</v>
      </c>
      <c r="K18" s="109">
        <f>+K3/5</f>
        <v>54.006259999999997</v>
      </c>
      <c r="L18" s="178"/>
      <c r="M18" s="179"/>
      <c r="N18" s="173">
        <f t="shared" ref="N18:N20" si="5">+IFERROR(M18/$M$21,0)</f>
        <v>0</v>
      </c>
    </row>
    <row r="19" spans="2:24" ht="15" customHeight="1" x14ac:dyDescent="0.3">
      <c r="B19" s="11" t="s">
        <v>43</v>
      </c>
      <c r="C19" s="14">
        <v>10</v>
      </c>
      <c r="D19" s="15" t="s">
        <v>36</v>
      </c>
      <c r="E19" s="16">
        <v>0.86</v>
      </c>
      <c r="F19" s="16">
        <f t="shared" si="4"/>
        <v>8.6</v>
      </c>
      <c r="G19" s="12"/>
      <c r="H19" s="13"/>
      <c r="J19" s="83" t="s">
        <v>27</v>
      </c>
      <c r="K19" s="109">
        <f>+K4*(K9-1)/K9</f>
        <v>423.86800499999998</v>
      </c>
      <c r="L19" s="178"/>
      <c r="M19" s="179"/>
      <c r="N19" s="173">
        <f t="shared" si="5"/>
        <v>0</v>
      </c>
    </row>
    <row r="20" spans="2:24" ht="15" thickBot="1" x14ac:dyDescent="0.35">
      <c r="B20" s="11" t="s">
        <v>47</v>
      </c>
      <c r="C20" s="14">
        <v>1</v>
      </c>
      <c r="D20" s="15" t="s">
        <v>14</v>
      </c>
      <c r="E20" s="16">
        <v>25</v>
      </c>
      <c r="F20" s="16">
        <f t="shared" si="4"/>
        <v>25</v>
      </c>
      <c r="G20" s="12"/>
      <c r="H20" s="26"/>
      <c r="J20" s="86" t="s">
        <v>30</v>
      </c>
      <c r="K20" s="87">
        <f>+K5*K8</f>
        <v>676</v>
      </c>
      <c r="L20" s="180"/>
      <c r="M20" s="181"/>
      <c r="N20" s="173">
        <f t="shared" si="5"/>
        <v>0</v>
      </c>
    </row>
    <row r="21" spans="2:24" ht="15" thickTop="1" x14ac:dyDescent="0.3">
      <c r="B21" s="27" t="s">
        <v>48</v>
      </c>
      <c r="C21" s="14">
        <v>1</v>
      </c>
      <c r="D21" s="19" t="s">
        <v>14</v>
      </c>
      <c r="E21" s="16">
        <v>10</v>
      </c>
      <c r="F21" s="16">
        <f t="shared" si="4"/>
        <v>10</v>
      </c>
      <c r="G21" s="12">
        <f>+C21*$C$26</f>
        <v>100</v>
      </c>
      <c r="H21" s="13"/>
      <c r="J21" s="88" t="s">
        <v>32</v>
      </c>
      <c r="K21" s="89">
        <f>SUM(K17:K20)</f>
        <v>1343.4352650000001</v>
      </c>
      <c r="L21" s="176"/>
      <c r="M21" s="177"/>
      <c r="N21" s="182"/>
    </row>
    <row r="22" spans="2:24" x14ac:dyDescent="0.3">
      <c r="B22" s="27" t="s">
        <v>49</v>
      </c>
      <c r="C22" s="19">
        <v>500</v>
      </c>
      <c r="D22" s="19" t="s">
        <v>50</v>
      </c>
      <c r="E22" s="170">
        <v>0.13</v>
      </c>
      <c r="F22" s="28">
        <f t="shared" si="4"/>
        <v>65</v>
      </c>
      <c r="G22" s="12">
        <f>+C22*$C$26</f>
        <v>50000</v>
      </c>
      <c r="H22" s="13"/>
      <c r="J22" s="123" t="s">
        <v>34</v>
      </c>
      <c r="K22" s="109">
        <f>+K8*K11*K13</f>
        <v>2166.6666666666665</v>
      </c>
      <c r="L22" s="184"/>
      <c r="M22" s="179"/>
      <c r="N22" s="104"/>
    </row>
    <row r="23" spans="2:24" ht="15" thickBot="1" x14ac:dyDescent="0.35">
      <c r="B23" s="146" t="s">
        <v>121</v>
      </c>
      <c r="C23" s="147">
        <v>1</v>
      </c>
      <c r="D23" s="168" t="s">
        <v>122</v>
      </c>
      <c r="E23" s="172"/>
      <c r="F23" s="169">
        <f t="shared" si="4"/>
        <v>0</v>
      </c>
      <c r="G23" s="145"/>
      <c r="H23" s="13"/>
      <c r="J23" s="91" t="s">
        <v>37</v>
      </c>
      <c r="K23" s="87">
        <f>+K22-K21</f>
        <v>823.23140166666644</v>
      </c>
      <c r="L23" s="180"/>
      <c r="M23" s="181"/>
      <c r="N23" s="183"/>
    </row>
    <row r="24" spans="2:24" ht="15" thickTop="1" x14ac:dyDescent="0.3">
      <c r="B24" s="27" t="s">
        <v>51</v>
      </c>
      <c r="C24" s="21"/>
      <c r="D24" s="22"/>
      <c r="E24" s="171"/>
      <c r="F24" s="30">
        <f>SUM(F6:F21)*0.1</f>
        <v>80.25500000000001</v>
      </c>
      <c r="G24" s="156"/>
      <c r="H24" s="13"/>
      <c r="J24" s="23" t="s">
        <v>39</v>
      </c>
      <c r="K24" s="107">
        <f>+K7*K21</f>
        <v>671717.63250000007</v>
      </c>
      <c r="L24" s="185"/>
      <c r="M24" s="186"/>
      <c r="N24" s="104"/>
    </row>
    <row r="25" spans="2:24" x14ac:dyDescent="0.3">
      <c r="B25" s="31" t="s">
        <v>52</v>
      </c>
      <c r="C25" s="32"/>
      <c r="D25" s="33"/>
      <c r="E25" s="34"/>
      <c r="F25" s="35">
        <f>SUM(F6:F24)</f>
        <v>947.80500000000006</v>
      </c>
      <c r="G25" s="156"/>
      <c r="H25" s="36"/>
      <c r="J25" s="23" t="s">
        <v>41</v>
      </c>
      <c r="K25" s="121">
        <f>+K22*K7</f>
        <v>1083333.3333333333</v>
      </c>
      <c r="L25" s="187"/>
      <c r="M25" s="188"/>
      <c r="N25" s="104"/>
    </row>
    <row r="26" spans="2:24" ht="15" thickBot="1" x14ac:dyDescent="0.35">
      <c r="B26" s="37" t="s">
        <v>53</v>
      </c>
      <c r="C26" s="38">
        <f>+$K$7*0.2</f>
        <v>100</v>
      </c>
      <c r="D26" s="39"/>
      <c r="E26" s="40" t="s">
        <v>54</v>
      </c>
      <c r="F26" s="41">
        <f>F25*C26</f>
        <v>94780.5</v>
      </c>
      <c r="G26" s="157"/>
      <c r="J26" s="25" t="s">
        <v>44</v>
      </c>
      <c r="K26" s="105">
        <f>+K25-K24</f>
        <v>411615.70083333319</v>
      </c>
      <c r="L26" s="189"/>
      <c r="M26" s="190"/>
      <c r="N26" s="137"/>
    </row>
    <row r="27" spans="2:24" x14ac:dyDescent="0.3">
      <c r="B27" s="163" t="s">
        <v>55</v>
      </c>
      <c r="C27" s="163"/>
      <c r="D27" s="163"/>
      <c r="E27" s="163"/>
      <c r="G27" s="5"/>
      <c r="H27" s="5"/>
    </row>
    <row r="28" spans="2:24" ht="15" thickBot="1" x14ac:dyDescent="0.35">
      <c r="X28" s="2"/>
    </row>
    <row r="29" spans="2:24" x14ac:dyDescent="0.3">
      <c r="B29" s="42" t="s">
        <v>4</v>
      </c>
      <c r="C29" s="158" t="s">
        <v>56</v>
      </c>
      <c r="D29" s="159"/>
      <c r="E29" s="43" t="s">
        <v>57</v>
      </c>
      <c r="F29" s="44" t="s">
        <v>7</v>
      </c>
      <c r="G29" s="44" t="s">
        <v>56</v>
      </c>
      <c r="H29" s="10"/>
      <c r="X29" s="2"/>
    </row>
    <row r="30" spans="2:24" x14ac:dyDescent="0.3">
      <c r="B30" s="27" t="s">
        <v>58</v>
      </c>
      <c r="C30" s="19">
        <v>2</v>
      </c>
      <c r="D30" s="19" t="s">
        <v>59</v>
      </c>
      <c r="E30" s="45">
        <v>6</v>
      </c>
      <c r="F30" s="28">
        <f>+C30*E30</f>
        <v>12</v>
      </c>
      <c r="G30" s="12">
        <f t="shared" ref="G30:G40" si="6">+C30*$C$26</f>
        <v>200</v>
      </c>
      <c r="H30" s="46"/>
      <c r="L30" t="s">
        <v>42</v>
      </c>
      <c r="X30" s="2"/>
    </row>
    <row r="31" spans="2:24" ht="16.2" customHeight="1" x14ac:dyDescent="0.3">
      <c r="B31" s="27" t="s">
        <v>62</v>
      </c>
      <c r="C31" s="19">
        <v>2</v>
      </c>
      <c r="D31" s="19" t="s">
        <v>63</v>
      </c>
      <c r="E31" s="47">
        <v>17.8</v>
      </c>
      <c r="F31" s="28">
        <f t="shared" ref="F31:F40" si="7">+C31*E31</f>
        <v>35.6</v>
      </c>
      <c r="G31" s="12">
        <f t="shared" si="6"/>
        <v>200</v>
      </c>
      <c r="H31" s="46"/>
      <c r="L31" s="160" t="s">
        <v>45</v>
      </c>
      <c r="M31" s="143" t="s">
        <v>46</v>
      </c>
      <c r="N31" s="144"/>
      <c r="O31" s="144"/>
      <c r="P31" s="144"/>
      <c r="Q31" s="144"/>
      <c r="R31" s="144"/>
      <c r="X31" s="2"/>
    </row>
    <row r="32" spans="2:24" ht="14.4" customHeight="1" x14ac:dyDescent="0.3">
      <c r="B32" s="27" t="s">
        <v>64</v>
      </c>
      <c r="C32" s="19">
        <v>1.5</v>
      </c>
      <c r="D32" s="19" t="s">
        <v>11</v>
      </c>
      <c r="E32" s="45">
        <v>16</v>
      </c>
      <c r="F32" s="28">
        <f t="shared" si="7"/>
        <v>24</v>
      </c>
      <c r="G32" s="12">
        <f t="shared" si="6"/>
        <v>150</v>
      </c>
      <c r="H32" s="46"/>
      <c r="L32" s="161"/>
      <c r="M32" s="94">
        <f>+K23</f>
        <v>823.23140166666644</v>
      </c>
      <c r="N32" s="192">
        <v>10</v>
      </c>
      <c r="O32" s="192">
        <v>11</v>
      </c>
      <c r="P32" s="192">
        <v>12.5</v>
      </c>
      <c r="Q32" s="192">
        <v>13</v>
      </c>
      <c r="R32" s="192">
        <v>14</v>
      </c>
      <c r="X32" s="2"/>
    </row>
    <row r="33" spans="2:24" x14ac:dyDescent="0.3">
      <c r="B33" s="27" t="s">
        <v>65</v>
      </c>
      <c r="C33" s="19">
        <v>0.1</v>
      </c>
      <c r="D33" s="19" t="s">
        <v>11</v>
      </c>
      <c r="E33" s="45">
        <v>21.5</v>
      </c>
      <c r="F33" s="28">
        <f t="shared" si="7"/>
        <v>2.15</v>
      </c>
      <c r="G33" s="12">
        <f t="shared" si="6"/>
        <v>10</v>
      </c>
      <c r="H33" s="36"/>
      <c r="L33" s="161"/>
      <c r="M33" s="191">
        <v>40</v>
      </c>
      <c r="N33" s="193"/>
      <c r="O33" s="194"/>
      <c r="P33" s="194"/>
      <c r="Q33" s="194"/>
      <c r="R33" s="195"/>
      <c r="X33" s="2"/>
    </row>
    <row r="34" spans="2:24" x14ac:dyDescent="0.3">
      <c r="B34" s="27" t="s">
        <v>66</v>
      </c>
      <c r="C34" s="19">
        <v>1</v>
      </c>
      <c r="D34" s="19" t="s">
        <v>59</v>
      </c>
      <c r="E34" s="45">
        <v>25</v>
      </c>
      <c r="F34" s="28">
        <f>+C34*E34</f>
        <v>25</v>
      </c>
      <c r="G34" s="12">
        <f t="shared" si="6"/>
        <v>100</v>
      </c>
      <c r="L34" s="161"/>
      <c r="M34" s="191">
        <v>50</v>
      </c>
      <c r="N34" s="196"/>
      <c r="O34" s="96"/>
      <c r="P34" s="96"/>
      <c r="Q34" s="96"/>
      <c r="R34" s="197"/>
      <c r="X34" s="2"/>
    </row>
    <row r="35" spans="2:24" x14ac:dyDescent="0.3">
      <c r="B35" s="27" t="s">
        <v>62</v>
      </c>
      <c r="C35" s="19">
        <v>2</v>
      </c>
      <c r="D35" s="19" t="s">
        <v>63</v>
      </c>
      <c r="E35" s="47">
        <v>17.8</v>
      </c>
      <c r="F35" s="28">
        <f>+C35*E35</f>
        <v>35.6</v>
      </c>
      <c r="G35" s="12">
        <f t="shared" si="6"/>
        <v>200</v>
      </c>
      <c r="L35" s="161"/>
      <c r="M35" s="191">
        <v>60</v>
      </c>
      <c r="N35" s="196"/>
      <c r="O35" s="96"/>
      <c r="P35" s="96"/>
      <c r="Q35" s="96"/>
      <c r="R35" s="197"/>
      <c r="X35" s="2"/>
    </row>
    <row r="36" spans="2:24" x14ac:dyDescent="0.3">
      <c r="B36" s="27" t="s">
        <v>67</v>
      </c>
      <c r="C36" s="19">
        <v>1.5</v>
      </c>
      <c r="D36" s="19" t="s">
        <v>11</v>
      </c>
      <c r="E36" s="45">
        <v>9.5</v>
      </c>
      <c r="F36" s="28">
        <f>+C36*E36</f>
        <v>14.25</v>
      </c>
      <c r="G36" s="12">
        <f t="shared" si="6"/>
        <v>150</v>
      </c>
      <c r="H36" s="10"/>
      <c r="L36" s="161"/>
      <c r="M36" s="191">
        <v>70</v>
      </c>
      <c r="N36" s="196"/>
      <c r="O36" s="96"/>
      <c r="P36" s="96"/>
      <c r="Q36" s="96"/>
      <c r="R36" s="197"/>
      <c r="X36" s="2"/>
    </row>
    <row r="37" spans="2:24" x14ac:dyDescent="0.3">
      <c r="B37" s="27" t="s">
        <v>68</v>
      </c>
      <c r="C37" s="19">
        <v>0.5</v>
      </c>
      <c r="D37" s="19" t="s">
        <v>11</v>
      </c>
      <c r="E37" s="45">
        <v>10.5</v>
      </c>
      <c r="F37" s="28">
        <f>+C37*E37</f>
        <v>5.25</v>
      </c>
      <c r="G37" s="12">
        <f t="shared" si="6"/>
        <v>50</v>
      </c>
      <c r="H37" s="46"/>
      <c r="L37" s="161"/>
      <c r="M37" s="191">
        <v>80</v>
      </c>
      <c r="N37" s="196"/>
      <c r="O37" s="96"/>
      <c r="P37" s="96"/>
      <c r="Q37" s="96"/>
      <c r="R37" s="197"/>
      <c r="S37" s="99"/>
      <c r="T37" s="99"/>
      <c r="X37" s="2"/>
    </row>
    <row r="38" spans="2:24" x14ac:dyDescent="0.3">
      <c r="B38" s="27" t="s">
        <v>69</v>
      </c>
      <c r="C38" s="19">
        <v>0.1</v>
      </c>
      <c r="D38" s="19" t="s">
        <v>11</v>
      </c>
      <c r="E38" s="45">
        <v>55</v>
      </c>
      <c r="F38" s="28">
        <f>+C38*E38</f>
        <v>5.5</v>
      </c>
      <c r="G38" s="12">
        <f t="shared" si="6"/>
        <v>10</v>
      </c>
      <c r="L38" s="162"/>
      <c r="M38" s="191">
        <v>90</v>
      </c>
      <c r="N38" s="198"/>
      <c r="O38" s="199"/>
      <c r="P38" s="199"/>
      <c r="Q38" s="199"/>
      <c r="R38" s="200"/>
      <c r="S38" s="100"/>
      <c r="T38" s="100"/>
      <c r="U38" s="99"/>
      <c r="V38" s="99"/>
      <c r="W38" s="99"/>
      <c r="X38" s="2"/>
    </row>
    <row r="39" spans="2:24" x14ac:dyDescent="0.3">
      <c r="B39" s="27" t="s">
        <v>70</v>
      </c>
      <c r="C39" s="19">
        <v>3</v>
      </c>
      <c r="D39" s="19"/>
      <c r="E39" s="45">
        <v>8</v>
      </c>
      <c r="F39" s="28">
        <f t="shared" si="7"/>
        <v>24</v>
      </c>
      <c r="G39" s="12">
        <f t="shared" si="6"/>
        <v>300</v>
      </c>
      <c r="L39" s="2"/>
      <c r="M39" s="2"/>
      <c r="N39" s="2"/>
      <c r="O39" s="2"/>
      <c r="P39" s="2"/>
      <c r="Q39" s="2"/>
      <c r="R39" s="2"/>
      <c r="S39" s="98"/>
      <c r="T39" s="98"/>
      <c r="U39" s="100"/>
      <c r="V39" s="100"/>
      <c r="W39" s="100"/>
      <c r="X39" s="2"/>
    </row>
    <row r="40" spans="2:24" x14ac:dyDescent="0.3">
      <c r="B40" s="27" t="s">
        <v>71</v>
      </c>
      <c r="C40" s="19">
        <v>100</v>
      </c>
      <c r="D40" s="19" t="s">
        <v>63</v>
      </c>
      <c r="E40" s="45">
        <v>0.62133000000000005</v>
      </c>
      <c r="F40" s="28">
        <f t="shared" si="7"/>
        <v>62.133000000000003</v>
      </c>
      <c r="G40" s="12">
        <f t="shared" si="6"/>
        <v>10000</v>
      </c>
      <c r="L40" t="s">
        <v>42</v>
      </c>
      <c r="S40" s="98"/>
      <c r="T40" s="98"/>
      <c r="U40" s="98"/>
      <c r="V40" s="98"/>
      <c r="W40" s="98"/>
      <c r="X40" s="2"/>
    </row>
    <row r="41" spans="2:24" x14ac:dyDescent="0.3">
      <c r="B41" s="27" t="s">
        <v>51</v>
      </c>
      <c r="C41" s="19"/>
      <c r="D41" s="19"/>
      <c r="E41" s="45"/>
      <c r="F41" s="30">
        <f>SUM(F30:F40)*0.1</f>
        <v>24.548300000000001</v>
      </c>
      <c r="G41" s="48"/>
      <c r="L41" s="160" t="s">
        <v>60</v>
      </c>
      <c r="M41" s="143" t="s">
        <v>61</v>
      </c>
      <c r="N41" s="144"/>
      <c r="O41" s="144"/>
      <c r="P41" s="144"/>
      <c r="Q41" s="144"/>
      <c r="R41" s="144"/>
      <c r="S41" s="98"/>
      <c r="T41" s="98"/>
      <c r="U41" s="98"/>
      <c r="V41" s="98"/>
      <c r="W41" s="98"/>
      <c r="X41" s="2"/>
    </row>
    <row r="42" spans="2:24" ht="15" customHeight="1" thickBot="1" x14ac:dyDescent="0.35">
      <c r="B42" s="49" t="s">
        <v>52</v>
      </c>
      <c r="C42" s="50"/>
      <c r="D42" s="51"/>
      <c r="E42" s="52"/>
      <c r="F42" s="53">
        <f>SUM(F30:F41)</f>
        <v>270.03129999999999</v>
      </c>
      <c r="G42" s="48"/>
      <c r="L42" s="161"/>
      <c r="M42" s="94">
        <f>+K23</f>
        <v>823.23140166666644</v>
      </c>
      <c r="N42" s="95">
        <v>1</v>
      </c>
      <c r="O42" s="95">
        <v>3</v>
      </c>
      <c r="P42" s="95">
        <v>6</v>
      </c>
      <c r="Q42" s="95">
        <v>9</v>
      </c>
      <c r="R42" s="95">
        <v>12</v>
      </c>
      <c r="S42" s="98"/>
      <c r="T42" s="98"/>
      <c r="U42" s="98"/>
      <c r="V42" s="98"/>
      <c r="W42" s="98"/>
      <c r="X42" s="2"/>
    </row>
    <row r="43" spans="2:24" ht="15" thickBot="1" x14ac:dyDescent="0.35">
      <c r="B43" s="54" t="s">
        <v>72</v>
      </c>
      <c r="C43" s="38">
        <f>+$K$7*0.2</f>
        <v>100</v>
      </c>
      <c r="D43" s="55"/>
      <c r="E43" s="56" t="s">
        <v>54</v>
      </c>
      <c r="F43" s="57">
        <f>F42*C43</f>
        <v>27003.129999999997</v>
      </c>
      <c r="G43" s="58"/>
      <c r="L43" s="161"/>
      <c r="M43" s="95">
        <v>40</v>
      </c>
      <c r="N43" s="96">
        <f t="dataTable" ref="N43:R48" dt2D="1" dtr="1" r1="K9" r2="K8"/>
        <v>501.76607333333322</v>
      </c>
      <c r="O43" s="96">
        <v>187.7897733333333</v>
      </c>
      <c r="P43" s="96">
        <v>109.29569833333323</v>
      </c>
      <c r="Q43" s="96">
        <v>83.131006666666622</v>
      </c>
      <c r="R43" s="96">
        <v>70.048660833333315</v>
      </c>
      <c r="S43" s="98"/>
      <c r="T43" s="98"/>
      <c r="U43" s="98"/>
      <c r="V43" s="98"/>
      <c r="W43" s="98"/>
      <c r="X43" s="2"/>
    </row>
    <row r="44" spans="2:24" x14ac:dyDescent="0.3">
      <c r="B44" s="163" t="s">
        <v>73</v>
      </c>
      <c r="C44" s="163"/>
      <c r="D44" s="163"/>
      <c r="E44" s="163"/>
      <c r="F44" s="163"/>
      <c r="G44" s="13"/>
      <c r="L44" s="161"/>
      <c r="M44" s="95">
        <v>50</v>
      </c>
      <c r="N44" s="96">
        <v>688.0994066666666</v>
      </c>
      <c r="O44" s="96">
        <v>374.12310666666667</v>
      </c>
      <c r="P44" s="96">
        <v>295.62903166666661</v>
      </c>
      <c r="Q44" s="96">
        <v>269.46433999999999</v>
      </c>
      <c r="R44" s="96">
        <v>256.38199416666657</v>
      </c>
      <c r="S44" s="98"/>
      <c r="T44" s="98"/>
      <c r="U44" s="98"/>
      <c r="V44" s="98"/>
      <c r="W44" s="98"/>
      <c r="X44" s="2"/>
    </row>
    <row r="45" spans="2:24" ht="15" thickBot="1" x14ac:dyDescent="0.35">
      <c r="G45" s="13"/>
      <c r="L45" s="161"/>
      <c r="M45" s="95">
        <v>60</v>
      </c>
      <c r="N45" s="96">
        <v>874.43274000000008</v>
      </c>
      <c r="O45" s="96">
        <v>560.45644000000016</v>
      </c>
      <c r="P45" s="96">
        <v>481.96236500000009</v>
      </c>
      <c r="Q45" s="96">
        <v>455.79767333333348</v>
      </c>
      <c r="R45" s="96">
        <v>442.71532750000006</v>
      </c>
      <c r="S45" s="2"/>
      <c r="T45" s="2"/>
      <c r="U45" s="98"/>
      <c r="V45" s="98"/>
      <c r="W45" s="98"/>
      <c r="X45" s="2"/>
    </row>
    <row r="46" spans="2:24" x14ac:dyDescent="0.3">
      <c r="B46" s="6" t="s">
        <v>4</v>
      </c>
      <c r="C46" s="7" t="s">
        <v>56</v>
      </c>
      <c r="D46" s="7"/>
      <c r="E46" s="8" t="s">
        <v>57</v>
      </c>
      <c r="F46" s="8" t="s">
        <v>7</v>
      </c>
      <c r="G46" s="9" t="s">
        <v>56</v>
      </c>
      <c r="L46" s="161"/>
      <c r="M46" s="95">
        <v>70</v>
      </c>
      <c r="N46" s="96">
        <v>1060.7660733333332</v>
      </c>
      <c r="O46" s="96">
        <v>746.78977333333319</v>
      </c>
      <c r="P46" s="96">
        <v>668.29569833333312</v>
      </c>
      <c r="Q46" s="96">
        <v>642.13100666666674</v>
      </c>
      <c r="R46" s="96">
        <v>629.04866083333332</v>
      </c>
      <c r="S46" s="2"/>
      <c r="T46" s="2"/>
      <c r="U46" s="2"/>
      <c r="V46" s="2"/>
      <c r="W46" s="2"/>
      <c r="X46" s="2"/>
    </row>
    <row r="47" spans="2:24" x14ac:dyDescent="0.3">
      <c r="B47" s="27" t="s">
        <v>74</v>
      </c>
      <c r="C47" s="19">
        <v>1</v>
      </c>
      <c r="D47" s="19" t="s">
        <v>59</v>
      </c>
      <c r="E47" s="45">
        <v>50</v>
      </c>
      <c r="F47" s="59">
        <f t="shared" ref="F47:F61" si="8">+C47*E47</f>
        <v>50</v>
      </c>
      <c r="G47" s="12">
        <f t="shared" ref="G47:G62" si="9">+C47*$C$26</f>
        <v>100</v>
      </c>
      <c r="L47" s="161"/>
      <c r="M47" s="95">
        <v>80</v>
      </c>
      <c r="N47" s="96">
        <v>1247.0994066666665</v>
      </c>
      <c r="O47" s="96">
        <v>933.12310666666644</v>
      </c>
      <c r="P47" s="96">
        <v>854.62903166666638</v>
      </c>
      <c r="Q47" s="96">
        <v>828.46433999999999</v>
      </c>
      <c r="R47" s="96">
        <v>815.38199416666657</v>
      </c>
      <c r="U47" s="2"/>
      <c r="V47" s="2"/>
      <c r="W47" s="2"/>
      <c r="X47" s="2"/>
    </row>
    <row r="48" spans="2:24" x14ac:dyDescent="0.3">
      <c r="B48" s="27" t="s">
        <v>75</v>
      </c>
      <c r="C48" s="19">
        <v>150</v>
      </c>
      <c r="D48" s="19" t="s">
        <v>29</v>
      </c>
      <c r="E48" s="45">
        <v>0.62133000000000005</v>
      </c>
      <c r="F48" s="59">
        <f t="shared" si="8"/>
        <v>93.1995</v>
      </c>
      <c r="G48" s="12">
        <f t="shared" si="9"/>
        <v>15000</v>
      </c>
      <c r="L48" s="162"/>
      <c r="M48" s="95">
        <v>90</v>
      </c>
      <c r="N48" s="96">
        <v>1433.4327400000002</v>
      </c>
      <c r="O48" s="96">
        <v>1119.4564400000002</v>
      </c>
      <c r="P48" s="96">
        <v>1040.9623650000001</v>
      </c>
      <c r="Q48" s="96">
        <v>1014.7976733333335</v>
      </c>
      <c r="R48" s="96">
        <v>1001.7153275000001</v>
      </c>
    </row>
    <row r="49" spans="2:8" x14ac:dyDescent="0.3">
      <c r="B49" s="27" t="s">
        <v>76</v>
      </c>
      <c r="C49" s="19">
        <v>50</v>
      </c>
      <c r="D49" s="19" t="s">
        <v>29</v>
      </c>
      <c r="E49" s="45">
        <v>0.96</v>
      </c>
      <c r="F49" s="59">
        <f t="shared" si="8"/>
        <v>48</v>
      </c>
      <c r="G49" s="12">
        <f t="shared" si="9"/>
        <v>5000</v>
      </c>
    </row>
    <row r="50" spans="2:8" x14ac:dyDescent="0.3">
      <c r="B50" s="27" t="s">
        <v>77</v>
      </c>
      <c r="C50" s="19">
        <v>1</v>
      </c>
      <c r="D50" s="19" t="s">
        <v>59</v>
      </c>
      <c r="E50" s="45">
        <v>40</v>
      </c>
      <c r="F50" s="59">
        <f t="shared" si="8"/>
        <v>40</v>
      </c>
      <c r="G50" s="12">
        <f t="shared" si="9"/>
        <v>100</v>
      </c>
    </row>
    <row r="51" spans="2:8" x14ac:dyDescent="0.3">
      <c r="B51" s="27" t="s">
        <v>49</v>
      </c>
      <c r="C51" s="19">
        <v>200</v>
      </c>
      <c r="D51" s="19" t="s">
        <v>29</v>
      </c>
      <c r="E51" s="45">
        <v>0.13</v>
      </c>
      <c r="F51" s="59">
        <f t="shared" si="8"/>
        <v>26</v>
      </c>
      <c r="G51" s="12">
        <f t="shared" si="9"/>
        <v>20000</v>
      </c>
    </row>
    <row r="52" spans="2:8" x14ac:dyDescent="0.3">
      <c r="B52" s="27" t="s">
        <v>78</v>
      </c>
      <c r="C52" s="19">
        <v>2</v>
      </c>
      <c r="D52" s="19" t="s">
        <v>59</v>
      </c>
      <c r="E52" s="45">
        <v>6</v>
      </c>
      <c r="F52" s="59">
        <f t="shared" si="8"/>
        <v>12</v>
      </c>
      <c r="G52" s="12">
        <f t="shared" si="9"/>
        <v>200</v>
      </c>
    </row>
    <row r="53" spans="2:8" x14ac:dyDescent="0.3">
      <c r="B53" s="27" t="s">
        <v>79</v>
      </c>
      <c r="C53" s="19">
        <v>2</v>
      </c>
      <c r="D53" s="19" t="s">
        <v>63</v>
      </c>
      <c r="E53" s="47">
        <v>15.9</v>
      </c>
      <c r="F53" s="59">
        <f t="shared" si="8"/>
        <v>31.8</v>
      </c>
      <c r="G53" s="12">
        <f t="shared" si="9"/>
        <v>200</v>
      </c>
      <c r="H53" s="10"/>
    </row>
    <row r="54" spans="2:8" x14ac:dyDescent="0.3">
      <c r="B54" s="27" t="s">
        <v>65</v>
      </c>
      <c r="C54" s="19">
        <v>0.1</v>
      </c>
      <c r="D54" s="19" t="s">
        <v>11</v>
      </c>
      <c r="E54" s="45">
        <v>21.5</v>
      </c>
      <c r="F54" s="59">
        <f t="shared" si="8"/>
        <v>2.15</v>
      </c>
      <c r="G54" s="12">
        <f t="shared" si="9"/>
        <v>10</v>
      </c>
    </row>
    <row r="55" spans="2:8" x14ac:dyDescent="0.3">
      <c r="B55" s="27" t="s">
        <v>80</v>
      </c>
      <c r="C55" s="19">
        <v>0.3</v>
      </c>
      <c r="D55" s="19" t="s">
        <v>11</v>
      </c>
      <c r="E55" s="45">
        <v>80</v>
      </c>
      <c r="F55" s="59">
        <f t="shared" si="8"/>
        <v>24</v>
      </c>
      <c r="G55" s="12">
        <f t="shared" si="9"/>
        <v>30</v>
      </c>
    </row>
    <row r="56" spans="2:8" x14ac:dyDescent="0.3">
      <c r="B56" s="27" t="s">
        <v>81</v>
      </c>
      <c r="C56" s="19">
        <v>0.2</v>
      </c>
      <c r="D56" s="19" t="s">
        <v>11</v>
      </c>
      <c r="E56" s="45">
        <v>155</v>
      </c>
      <c r="F56" s="59">
        <f t="shared" si="8"/>
        <v>31</v>
      </c>
      <c r="G56" s="12">
        <f t="shared" si="9"/>
        <v>20</v>
      </c>
    </row>
    <row r="57" spans="2:8" x14ac:dyDescent="0.3">
      <c r="B57" s="27" t="s">
        <v>68</v>
      </c>
      <c r="C57" s="19">
        <v>0.5</v>
      </c>
      <c r="D57" s="19" t="s">
        <v>11</v>
      </c>
      <c r="E57" s="45">
        <v>10.5</v>
      </c>
      <c r="F57" s="59">
        <f t="shared" si="8"/>
        <v>5.25</v>
      </c>
      <c r="G57" s="12">
        <f t="shared" si="9"/>
        <v>50</v>
      </c>
    </row>
    <row r="58" spans="2:8" x14ac:dyDescent="0.3">
      <c r="B58" s="27" t="s">
        <v>67</v>
      </c>
      <c r="C58" s="19">
        <v>1.5</v>
      </c>
      <c r="D58" s="19" t="s">
        <v>11</v>
      </c>
      <c r="E58" s="45">
        <v>9.5</v>
      </c>
      <c r="F58" s="59">
        <f t="shared" si="8"/>
        <v>14.25</v>
      </c>
      <c r="G58" s="12">
        <f t="shared" si="9"/>
        <v>150</v>
      </c>
    </row>
    <row r="59" spans="2:8" x14ac:dyDescent="0.3">
      <c r="B59" s="27" t="s">
        <v>82</v>
      </c>
      <c r="C59" s="19">
        <v>1</v>
      </c>
      <c r="D59" s="19" t="s">
        <v>83</v>
      </c>
      <c r="E59" s="45">
        <v>6</v>
      </c>
      <c r="F59" s="59">
        <f t="shared" si="8"/>
        <v>6</v>
      </c>
      <c r="G59" s="12">
        <f t="shared" si="9"/>
        <v>100</v>
      </c>
    </row>
    <row r="60" spans="2:8" x14ac:dyDescent="0.3">
      <c r="B60" s="27" t="s">
        <v>84</v>
      </c>
      <c r="C60" s="19">
        <v>2</v>
      </c>
      <c r="D60" s="19" t="s">
        <v>11</v>
      </c>
      <c r="E60" s="45">
        <v>7.5</v>
      </c>
      <c r="F60" s="59">
        <f t="shared" si="8"/>
        <v>15</v>
      </c>
      <c r="G60" s="12">
        <f t="shared" si="9"/>
        <v>200</v>
      </c>
    </row>
    <row r="61" spans="2:8" x14ac:dyDescent="0.3">
      <c r="B61" s="27" t="s">
        <v>69</v>
      </c>
      <c r="C61" s="19">
        <v>0.1</v>
      </c>
      <c r="D61" s="19" t="s">
        <v>11</v>
      </c>
      <c r="E61" s="45">
        <v>55</v>
      </c>
      <c r="F61" s="59">
        <f t="shared" si="8"/>
        <v>5.5</v>
      </c>
      <c r="G61" s="12">
        <f t="shared" si="9"/>
        <v>10</v>
      </c>
    </row>
    <row r="62" spans="2:8" x14ac:dyDescent="0.3">
      <c r="B62" s="27" t="s">
        <v>70</v>
      </c>
      <c r="C62" s="19">
        <v>3</v>
      </c>
      <c r="D62" s="19" t="s">
        <v>83</v>
      </c>
      <c r="E62" s="45">
        <v>8</v>
      </c>
      <c r="F62" s="59">
        <f>+C62*E62</f>
        <v>24</v>
      </c>
      <c r="G62" s="12">
        <f t="shared" si="9"/>
        <v>300</v>
      </c>
    </row>
    <row r="63" spans="2:8" x14ac:dyDescent="0.3">
      <c r="B63" s="27" t="s">
        <v>51</v>
      </c>
      <c r="C63" s="19"/>
      <c r="D63" s="19"/>
      <c r="E63" s="45"/>
      <c r="F63" s="30">
        <f>SUM(F47:F62)*0.1</f>
        <v>42.814950000000003</v>
      </c>
      <c r="G63" s="61"/>
      <c r="H63" s="17"/>
    </row>
    <row r="64" spans="2:8" x14ac:dyDescent="0.3">
      <c r="B64" s="31" t="s">
        <v>52</v>
      </c>
      <c r="C64" s="32"/>
      <c r="D64" s="33"/>
      <c r="E64" s="34"/>
      <c r="F64" s="35">
        <f>SUM(F47:F63)</f>
        <v>470.96445</v>
      </c>
      <c r="G64" s="60"/>
    </row>
    <row r="65" spans="2:9" ht="15" thickBot="1" x14ac:dyDescent="0.35">
      <c r="B65" s="37" t="s">
        <v>85</v>
      </c>
      <c r="C65" s="38">
        <f>+$K$7*0.8</f>
        <v>400</v>
      </c>
      <c r="D65" s="39"/>
      <c r="E65" s="40" t="s">
        <v>54</v>
      </c>
      <c r="F65" s="41">
        <f>F64*C65</f>
        <v>188385.78</v>
      </c>
      <c r="G65" s="62"/>
    </row>
    <row r="67" spans="2:9" x14ac:dyDescent="0.3">
      <c r="B67" s="5" t="s">
        <v>86</v>
      </c>
      <c r="C67" s="5"/>
      <c r="D67" s="5"/>
      <c r="E67" s="5"/>
      <c r="F67" s="5"/>
    </row>
    <row r="68" spans="2:9" ht="15" thickBot="1" x14ac:dyDescent="0.35">
      <c r="B68" s="63"/>
      <c r="C68" s="63"/>
      <c r="D68" s="63"/>
      <c r="E68" s="64"/>
    </row>
    <row r="69" spans="2:9" ht="15" thickBot="1" x14ac:dyDescent="0.35">
      <c r="B69" s="42" t="s">
        <v>4</v>
      </c>
      <c r="C69" s="154" t="s">
        <v>56</v>
      </c>
      <c r="D69" s="155"/>
      <c r="E69" s="43" t="s">
        <v>87</v>
      </c>
      <c r="F69" s="44" t="s">
        <v>7</v>
      </c>
      <c r="G69" s="36"/>
      <c r="H69" s="36"/>
    </row>
    <row r="70" spans="2:9" x14ac:dyDescent="0.3">
      <c r="B70" s="65" t="s">
        <v>88</v>
      </c>
      <c r="C70" s="66">
        <v>1</v>
      </c>
      <c r="D70" s="66" t="s">
        <v>89</v>
      </c>
      <c r="E70" s="66">
        <v>35</v>
      </c>
      <c r="F70" s="67">
        <v>5</v>
      </c>
      <c r="I70" s="68"/>
    </row>
    <row r="71" spans="2:9" x14ac:dyDescent="0.3">
      <c r="B71" s="27" t="s">
        <v>90</v>
      </c>
      <c r="C71" s="19">
        <v>1</v>
      </c>
      <c r="D71" s="19" t="s">
        <v>89</v>
      </c>
      <c r="E71" s="19">
        <v>24</v>
      </c>
      <c r="F71" s="69">
        <v>3.45</v>
      </c>
      <c r="I71" s="68"/>
    </row>
    <row r="72" spans="2:9" x14ac:dyDescent="0.3">
      <c r="B72" s="11"/>
      <c r="C72" s="19"/>
      <c r="D72" s="19"/>
      <c r="E72" s="19"/>
      <c r="F72" s="69"/>
      <c r="I72" s="17"/>
    </row>
    <row r="73" spans="2:9" ht="15" thickBot="1" x14ac:dyDescent="0.35">
      <c r="B73" s="70" t="s">
        <v>52</v>
      </c>
      <c r="C73" s="71"/>
      <c r="D73" s="72"/>
      <c r="E73" s="73"/>
      <c r="F73" s="74">
        <f>F70+F71+F72</f>
        <v>8.4499999999999993</v>
      </c>
      <c r="I73" s="17"/>
    </row>
    <row r="74" spans="2:9" ht="15" thickBot="1" x14ac:dyDescent="0.35">
      <c r="B74" s="54" t="s">
        <v>9</v>
      </c>
      <c r="C74" s="38">
        <f>+$K$7</f>
        <v>500</v>
      </c>
      <c r="D74" s="55"/>
      <c r="E74" s="56" t="s">
        <v>54</v>
      </c>
      <c r="F74" s="75">
        <f>F73*C74</f>
        <v>4225</v>
      </c>
    </row>
  </sheetData>
  <mergeCells count="11">
    <mergeCell ref="G24:G26"/>
    <mergeCell ref="C29:D29"/>
    <mergeCell ref="L31:L38"/>
    <mergeCell ref="L41:L48"/>
    <mergeCell ref="B44:F44"/>
    <mergeCell ref="B27:E27"/>
    <mergeCell ref="B2:F2"/>
    <mergeCell ref="B3:F3"/>
    <mergeCell ref="B4:F4"/>
    <mergeCell ref="C5:D5"/>
    <mergeCell ref="C69:D69"/>
  </mergeCells>
  <conditionalFormatting sqref="K17:K2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{4C196CF7-36A2-4B89-94A9-5101FF1E9C11}</x14:id>
        </ext>
      </extLst>
    </cfRule>
  </conditionalFormatting>
  <conditionalFormatting sqref="L17:L2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{C6092B77-900E-4FF5-BF73-DF9E60147F33}</x14:id>
        </ext>
      </extLst>
    </cfRule>
  </conditionalFormatting>
  <conditionalFormatting sqref="M17:M2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{2646C7FE-29F7-4F4C-9349-753F2021B7F3}</x14:id>
        </ext>
      </extLst>
    </cfRule>
  </conditionalFormatting>
  <conditionalFormatting sqref="N33:R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:R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S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:W45 S39:T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2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196CF7-36A2-4B89-94A9-5101FF1E9C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K17:K20</xm:sqref>
        </x14:conditionalFormatting>
        <x14:conditionalFormatting xmlns:xm="http://schemas.microsoft.com/office/excel/2006/main">
          <x14:cfRule type="dataBar" id="{C6092B77-900E-4FF5-BF73-DF9E60147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L17:L20</xm:sqref>
        </x14:conditionalFormatting>
        <x14:conditionalFormatting xmlns:xm="http://schemas.microsoft.com/office/excel/2006/main">
          <x14:cfRule type="dataBar" id="{2646C7FE-29F7-4F4C-9349-753F2021B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M17:M20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805-FB12-4A6C-BDED-50261F7FC796}">
  <sheetPr>
    <tabColor theme="7"/>
  </sheetPr>
  <dimension ref="A5:W77"/>
  <sheetViews>
    <sheetView showGridLines="0" zoomScale="180" zoomScaleNormal="180" workbookViewId="0">
      <selection activeCell="K35" sqref="K35:P35"/>
    </sheetView>
  </sheetViews>
  <sheetFormatPr baseColWidth="10" defaultColWidth="9.109375" defaultRowHeight="14.4" x14ac:dyDescent="0.3"/>
  <cols>
    <col min="1" max="1" width="31.44140625" bestFit="1" customWidth="1"/>
    <col min="2" max="2" width="11.109375" bestFit="1" customWidth="1"/>
    <col min="3" max="3" width="8.33203125" customWidth="1"/>
    <col min="4" max="4" width="20.44140625" customWidth="1"/>
    <col min="5" max="5" width="14.33203125" bestFit="1" customWidth="1"/>
    <col min="6" max="7" width="12.5546875" customWidth="1"/>
    <col min="8" max="8" width="3.88671875" customWidth="1"/>
    <col min="9" max="9" width="28.33203125" bestFit="1" customWidth="1"/>
    <col min="10" max="10" width="14.44140625" bestFit="1" customWidth="1"/>
    <col min="11" max="11" width="13.88671875" bestFit="1" customWidth="1"/>
    <col min="12" max="12" width="14" bestFit="1" customWidth="1"/>
    <col min="13" max="13" width="12.21875" bestFit="1" customWidth="1"/>
    <col min="14" max="15" width="10.6640625" bestFit="1" customWidth="1"/>
    <col min="16" max="16" width="11.77734375" bestFit="1" customWidth="1"/>
    <col min="17" max="17" width="10.6640625" bestFit="1" customWidth="1"/>
    <col min="18" max="18" width="11.21875" bestFit="1" customWidth="1"/>
    <col min="19" max="20" width="10.6640625" bestFit="1" customWidth="1"/>
    <col min="21" max="21" width="10.33203125" bestFit="1" customWidth="1"/>
    <col min="22" max="22" width="11.6640625" bestFit="1" customWidth="1"/>
  </cols>
  <sheetData>
    <row r="5" spans="1:22" ht="15.6" x14ac:dyDescent="0.3">
      <c r="A5" s="3"/>
      <c r="B5" s="3"/>
      <c r="C5" s="3"/>
      <c r="D5" s="4"/>
    </row>
    <row r="6" spans="1:22" ht="15" thickBot="1" x14ac:dyDescent="0.35">
      <c r="A6" s="152" t="s">
        <v>0</v>
      </c>
      <c r="B6" s="152"/>
      <c r="C6" s="152"/>
      <c r="D6" s="152"/>
      <c r="E6" s="152"/>
      <c r="I6" s="76" t="s">
        <v>92</v>
      </c>
      <c r="J6" s="106">
        <f>+E28</f>
        <v>947.80500000000006</v>
      </c>
      <c r="M6" s="120" t="s">
        <v>111</v>
      </c>
      <c r="N6" s="120" t="s">
        <v>112</v>
      </c>
      <c r="O6" s="120" t="s">
        <v>113</v>
      </c>
      <c r="P6" s="120" t="s">
        <v>114</v>
      </c>
      <c r="Q6" s="120" t="s">
        <v>115</v>
      </c>
      <c r="R6" s="120" t="s">
        <v>116</v>
      </c>
      <c r="S6" s="120" t="s">
        <v>101</v>
      </c>
    </row>
    <row r="7" spans="1:22" x14ac:dyDescent="0.3">
      <c r="A7" s="152"/>
      <c r="B7" s="152"/>
      <c r="C7" s="152"/>
      <c r="D7" s="152"/>
      <c r="E7" s="152"/>
      <c r="I7" s="76" t="s">
        <v>93</v>
      </c>
      <c r="J7" s="106">
        <f>+E45</f>
        <v>270.03129999999999</v>
      </c>
      <c r="L7" s="65" t="s">
        <v>2</v>
      </c>
      <c r="M7" s="66">
        <v>0</v>
      </c>
      <c r="N7" s="66">
        <v>100</v>
      </c>
      <c r="O7" s="66">
        <f>+N7*0.9</f>
        <v>90</v>
      </c>
      <c r="P7" s="66">
        <v>80</v>
      </c>
      <c r="Q7" s="66">
        <v>70</v>
      </c>
      <c r="R7" s="66">
        <v>60</v>
      </c>
      <c r="S7" s="103">
        <f>+AVERAGE(N7:R7)</f>
        <v>80</v>
      </c>
    </row>
    <row r="8" spans="1:22" ht="15" thickBot="1" x14ac:dyDescent="0.35">
      <c r="A8" s="167"/>
      <c r="B8" s="152"/>
      <c r="C8" s="152"/>
      <c r="D8" s="152"/>
      <c r="E8" s="152"/>
      <c r="I8" s="76" t="s">
        <v>94</v>
      </c>
      <c r="J8" s="106">
        <f>+E67</f>
        <v>470.96445</v>
      </c>
      <c r="L8" s="133" t="s">
        <v>12</v>
      </c>
      <c r="M8" s="93"/>
      <c r="N8" s="135">
        <v>12</v>
      </c>
      <c r="O8" s="135">
        <v>12.4</v>
      </c>
      <c r="P8" s="135">
        <v>12.6</v>
      </c>
      <c r="Q8" s="135">
        <v>12.8</v>
      </c>
      <c r="R8" s="135">
        <v>13</v>
      </c>
      <c r="S8" s="136">
        <f>ROUNDDOWN(+AVERAGE(N8:R8),1)</f>
        <v>12.5</v>
      </c>
    </row>
    <row r="9" spans="1:22" x14ac:dyDescent="0.3">
      <c r="A9" s="6" t="s">
        <v>4</v>
      </c>
      <c r="B9" s="153" t="s">
        <v>5</v>
      </c>
      <c r="C9" s="153"/>
      <c r="D9" s="8" t="s">
        <v>6</v>
      </c>
      <c r="E9" s="8" t="s">
        <v>7</v>
      </c>
      <c r="F9" s="9" t="s">
        <v>8</v>
      </c>
      <c r="G9" s="10"/>
      <c r="H9" s="10"/>
      <c r="I9" s="76" t="s">
        <v>95</v>
      </c>
      <c r="J9" s="106">
        <f>+E76</f>
        <v>8.4499999999999993</v>
      </c>
      <c r="L9" s="126" t="s">
        <v>99</v>
      </c>
      <c r="M9" s="110">
        <f>+J6</f>
        <v>947.80500000000006</v>
      </c>
      <c r="N9" s="110"/>
      <c r="O9" s="110"/>
      <c r="P9" s="110"/>
      <c r="Q9" s="110"/>
      <c r="R9" s="110"/>
      <c r="S9" s="111">
        <f>+M9/5</f>
        <v>189.56100000000001</v>
      </c>
    </row>
    <row r="10" spans="1:22" x14ac:dyDescent="0.3">
      <c r="A10" s="11" t="s">
        <v>118</v>
      </c>
      <c r="B10" s="14">
        <v>5</v>
      </c>
      <c r="C10" s="15" t="s">
        <v>11</v>
      </c>
      <c r="D10" s="16">
        <v>7</v>
      </c>
      <c r="E10" s="16">
        <f>+B10*D10</f>
        <v>35</v>
      </c>
      <c r="F10" s="12">
        <f>+B10*$B$29</f>
        <v>500</v>
      </c>
      <c r="G10" s="13"/>
      <c r="L10" s="115" t="s">
        <v>100</v>
      </c>
      <c r="M10" s="96">
        <f>+J7</f>
        <v>270.03129999999999</v>
      </c>
      <c r="N10" s="96"/>
      <c r="O10" s="96"/>
      <c r="P10" s="96"/>
      <c r="Q10" s="96"/>
      <c r="R10" s="96"/>
      <c r="S10" s="112">
        <f>+M10/5</f>
        <v>54.006259999999997</v>
      </c>
    </row>
    <row r="11" spans="1:22" x14ac:dyDescent="0.3">
      <c r="A11" s="11" t="s">
        <v>120</v>
      </c>
      <c r="B11" s="14">
        <v>2</v>
      </c>
      <c r="C11" s="15" t="s">
        <v>14</v>
      </c>
      <c r="D11" s="16">
        <v>40</v>
      </c>
      <c r="E11" s="16">
        <f>+B11*D11</f>
        <v>80</v>
      </c>
      <c r="F11" s="12"/>
      <c r="G11" s="13"/>
      <c r="I11" s="76" t="s">
        <v>1</v>
      </c>
      <c r="J11" s="78">
        <v>500</v>
      </c>
      <c r="L11" s="115" t="s">
        <v>98</v>
      </c>
      <c r="M11" s="96"/>
      <c r="N11" s="96">
        <f>+N7*$J$9</f>
        <v>844.99999999999989</v>
      </c>
      <c r="O11" s="96">
        <f t="shared" ref="O11:R11" si="0">+O7*$J$9</f>
        <v>760.49999999999989</v>
      </c>
      <c r="P11" s="96">
        <f t="shared" si="0"/>
        <v>676</v>
      </c>
      <c r="Q11" s="96">
        <f t="shared" si="0"/>
        <v>591.5</v>
      </c>
      <c r="R11" s="96">
        <f t="shared" si="0"/>
        <v>506.99999999999994</v>
      </c>
      <c r="S11" s="112">
        <f>+SUM(M11:R11)/5</f>
        <v>676</v>
      </c>
      <c r="V11" s="120"/>
    </row>
    <row r="12" spans="1:22" ht="15" thickBot="1" x14ac:dyDescent="0.35">
      <c r="A12" s="11" t="s">
        <v>15</v>
      </c>
      <c r="B12" s="14">
        <v>1</v>
      </c>
      <c r="C12" s="15" t="s">
        <v>14</v>
      </c>
      <c r="D12" s="16">
        <v>32</v>
      </c>
      <c r="E12" s="16">
        <f>+D12*B12</f>
        <v>32</v>
      </c>
      <c r="F12" s="12"/>
      <c r="G12" s="13"/>
      <c r="H12" s="17"/>
      <c r="I12" s="76" t="s">
        <v>2</v>
      </c>
      <c r="J12" s="79">
        <v>80</v>
      </c>
      <c r="L12" s="116" t="s">
        <v>91</v>
      </c>
      <c r="M12" s="113"/>
      <c r="N12" s="113">
        <f>+J8</f>
        <v>470.96445</v>
      </c>
      <c r="O12" s="113">
        <f>+$N$12</f>
        <v>470.96445</v>
      </c>
      <c r="P12" s="113">
        <f t="shared" ref="P12:Q12" si="1">+$N$12</f>
        <v>470.96445</v>
      </c>
      <c r="Q12" s="113">
        <f t="shared" si="1"/>
        <v>470.96445</v>
      </c>
      <c r="R12" s="113"/>
      <c r="S12" s="114">
        <f>+SUM(M12:R12)/5</f>
        <v>376.77156000000002</v>
      </c>
    </row>
    <row r="13" spans="1:22" x14ac:dyDescent="0.3">
      <c r="A13" s="11" t="s">
        <v>16</v>
      </c>
      <c r="B13" s="14">
        <v>1</v>
      </c>
      <c r="C13" s="15" t="s">
        <v>14</v>
      </c>
      <c r="D13" s="16">
        <v>20</v>
      </c>
      <c r="E13" s="16">
        <f>+D13*B13</f>
        <v>20</v>
      </c>
      <c r="F13" s="12"/>
      <c r="G13" s="13"/>
      <c r="H13" s="18"/>
      <c r="I13" s="76" t="s">
        <v>3</v>
      </c>
      <c r="J13" s="80">
        <v>5</v>
      </c>
      <c r="L13" s="134" t="s">
        <v>103</v>
      </c>
      <c r="M13" s="131">
        <f>SUM(M9:M12)</f>
        <v>1217.8362999999999</v>
      </c>
      <c r="N13" s="131">
        <f t="shared" ref="N13:R13" si="2">SUM(N9:N12)</f>
        <v>1315.9644499999999</v>
      </c>
      <c r="O13" s="131">
        <f t="shared" si="2"/>
        <v>1231.4644499999999</v>
      </c>
      <c r="P13" s="131">
        <f t="shared" si="2"/>
        <v>1146.9644499999999</v>
      </c>
      <c r="Q13" s="131">
        <f t="shared" si="2"/>
        <v>1062.4644499999999</v>
      </c>
      <c r="R13" s="131">
        <f t="shared" si="2"/>
        <v>506.99999999999994</v>
      </c>
      <c r="S13" s="132">
        <f>SUM(M13:R13)</f>
        <v>6481.6940999999988</v>
      </c>
    </row>
    <row r="14" spans="1:22" x14ac:dyDescent="0.3">
      <c r="A14" s="11" t="s">
        <v>22</v>
      </c>
      <c r="B14" s="14">
        <v>1</v>
      </c>
      <c r="C14" s="15" t="s">
        <v>14</v>
      </c>
      <c r="D14" s="16">
        <v>122</v>
      </c>
      <c r="E14" s="16">
        <v>122</v>
      </c>
      <c r="F14" s="12"/>
      <c r="G14" s="13"/>
      <c r="H14" s="17"/>
      <c r="I14" s="76" t="s">
        <v>9</v>
      </c>
      <c r="J14" s="77">
        <f>+J11*J12</f>
        <v>40000</v>
      </c>
      <c r="L14" s="117" t="s">
        <v>42</v>
      </c>
      <c r="M14" s="96">
        <v>0</v>
      </c>
      <c r="N14" s="96">
        <f>+N7*N8*$J$17</f>
        <v>2600</v>
      </c>
      <c r="O14" s="96">
        <f t="shared" ref="O14:R14" si="3">+O7*O8*$J$17</f>
        <v>2418</v>
      </c>
      <c r="P14" s="96">
        <f t="shared" si="3"/>
        <v>2184</v>
      </c>
      <c r="Q14" s="96">
        <f t="shared" si="3"/>
        <v>1941.3333333333333</v>
      </c>
      <c r="R14" s="96">
        <f t="shared" si="3"/>
        <v>1689.9999999999998</v>
      </c>
      <c r="S14" s="132">
        <f>SUM(M14:R14)</f>
        <v>10833.333333333334</v>
      </c>
    </row>
    <row r="15" spans="1:22" ht="15" thickBot="1" x14ac:dyDescent="0.35">
      <c r="A15" s="11" t="s">
        <v>24</v>
      </c>
      <c r="B15" s="14">
        <v>1</v>
      </c>
      <c r="C15" s="15" t="s">
        <v>14</v>
      </c>
      <c r="D15" s="16">
        <v>45</v>
      </c>
      <c r="E15" s="16">
        <f>+D15*B15</f>
        <v>45</v>
      </c>
      <c r="F15" s="12"/>
      <c r="G15" s="13"/>
      <c r="H15" s="18"/>
      <c r="I15" s="76" t="s">
        <v>12</v>
      </c>
      <c r="J15" s="127">
        <v>12.5</v>
      </c>
      <c r="L15" s="118" t="s">
        <v>104</v>
      </c>
      <c r="M15" s="113">
        <f>+M14-M13</f>
        <v>-1217.8362999999999</v>
      </c>
      <c r="N15" s="113">
        <f t="shared" ref="N15:R15" si="4">+N14-N13</f>
        <v>1284.0355500000001</v>
      </c>
      <c r="O15" s="113">
        <f t="shared" si="4"/>
        <v>1186.5355500000001</v>
      </c>
      <c r="P15" s="113">
        <f t="shared" si="4"/>
        <v>1037.0355500000001</v>
      </c>
      <c r="Q15" s="113">
        <f t="shared" si="4"/>
        <v>878.86888333333332</v>
      </c>
      <c r="R15" s="113">
        <f t="shared" si="4"/>
        <v>1182.9999999999998</v>
      </c>
      <c r="S15" s="132">
        <f>SUM(M15:R15)</f>
        <v>4351.6392333333333</v>
      </c>
    </row>
    <row r="16" spans="1:22" ht="16.2" thickBot="1" x14ac:dyDescent="0.35">
      <c r="A16" s="11" t="s">
        <v>25</v>
      </c>
      <c r="B16" s="14">
        <v>0.2</v>
      </c>
      <c r="C16" s="15" t="s">
        <v>26</v>
      </c>
      <c r="D16" s="16">
        <v>150</v>
      </c>
      <c r="E16" s="16">
        <f>+B16*D16</f>
        <v>30</v>
      </c>
      <c r="F16" s="12">
        <f>+B16*$B$29</f>
        <v>20</v>
      </c>
      <c r="G16" s="13"/>
      <c r="H16" s="17"/>
      <c r="I16" s="76" t="s">
        <v>97</v>
      </c>
      <c r="J16" s="127">
        <v>26</v>
      </c>
      <c r="L16" s="119" t="s">
        <v>102</v>
      </c>
      <c r="M16" s="128">
        <f>+S15/5</f>
        <v>870.32784666666669</v>
      </c>
      <c r="N16" s="129"/>
      <c r="O16" s="129"/>
      <c r="P16" s="129"/>
      <c r="Q16" s="129"/>
      <c r="R16" s="129"/>
      <c r="S16" s="130"/>
    </row>
    <row r="17" spans="1:23" x14ac:dyDescent="0.3">
      <c r="A17" s="11" t="s">
        <v>28</v>
      </c>
      <c r="B17" s="14">
        <v>100</v>
      </c>
      <c r="C17" s="15" t="s">
        <v>29</v>
      </c>
      <c r="D17" s="16">
        <v>0.88</v>
      </c>
      <c r="E17" s="16">
        <f t="shared" ref="E17:E26" si="5">+D17*B17</f>
        <v>88</v>
      </c>
      <c r="F17" s="12">
        <f>+B17*$B$29</f>
        <v>10000</v>
      </c>
      <c r="G17" s="13"/>
      <c r="H17" s="17"/>
      <c r="I17" s="76" t="s">
        <v>96</v>
      </c>
      <c r="J17" s="77">
        <f>+J16/12</f>
        <v>2.1666666666666665</v>
      </c>
      <c r="N17" s="108"/>
    </row>
    <row r="18" spans="1:23" x14ac:dyDescent="0.3">
      <c r="A18" s="11" t="s">
        <v>31</v>
      </c>
      <c r="B18" s="19">
        <v>0.5</v>
      </c>
      <c r="C18" s="15" t="s">
        <v>11</v>
      </c>
      <c r="D18" s="16">
        <v>13.9</v>
      </c>
      <c r="E18" s="16">
        <f t="shared" si="5"/>
        <v>6.95</v>
      </c>
      <c r="F18" s="12">
        <f>+B18*$B$29</f>
        <v>50</v>
      </c>
      <c r="G18" s="13"/>
      <c r="H18" s="18"/>
    </row>
    <row r="19" spans="1:23" ht="15" thickBot="1" x14ac:dyDescent="0.35">
      <c r="A19" s="11" t="s">
        <v>33</v>
      </c>
      <c r="B19" s="14">
        <v>0.5</v>
      </c>
      <c r="C19" s="15" t="s">
        <v>11</v>
      </c>
      <c r="D19" s="16">
        <v>30</v>
      </c>
      <c r="E19" s="16">
        <f t="shared" si="5"/>
        <v>15</v>
      </c>
      <c r="F19" s="12">
        <f>+B19*$B$29</f>
        <v>50</v>
      </c>
      <c r="G19" s="13"/>
    </row>
    <row r="20" spans="1:23" ht="18" x14ac:dyDescent="0.35">
      <c r="A20" s="20" t="s">
        <v>35</v>
      </c>
      <c r="B20" s="21">
        <v>10</v>
      </c>
      <c r="C20" s="22" t="s">
        <v>36</v>
      </c>
      <c r="D20" s="16">
        <v>20</v>
      </c>
      <c r="E20" s="16">
        <f t="shared" si="5"/>
        <v>200</v>
      </c>
      <c r="F20" s="12">
        <f>+B20*$B$29</f>
        <v>1000</v>
      </c>
      <c r="G20" s="13"/>
      <c r="I20" s="81" t="s">
        <v>17</v>
      </c>
      <c r="J20" s="82" t="s">
        <v>119</v>
      </c>
      <c r="K20" s="82" t="s">
        <v>19</v>
      </c>
      <c r="L20" s="122" t="s">
        <v>96</v>
      </c>
      <c r="M20" s="84" t="s">
        <v>21</v>
      </c>
    </row>
    <row r="21" spans="1:23" x14ac:dyDescent="0.3">
      <c r="A21" s="24" t="s">
        <v>38</v>
      </c>
      <c r="B21" s="14">
        <v>1</v>
      </c>
      <c r="C21" s="15" t="s">
        <v>14</v>
      </c>
      <c r="D21" s="16">
        <v>50</v>
      </c>
      <c r="E21" s="16">
        <f t="shared" si="5"/>
        <v>50</v>
      </c>
      <c r="F21" s="12"/>
      <c r="G21" s="13"/>
      <c r="I21" s="83" t="s">
        <v>23</v>
      </c>
      <c r="J21" s="109">
        <f>+J6/J13</f>
        <v>189.56100000000001</v>
      </c>
      <c r="K21" s="148">
        <f>+J21/$J$12</f>
        <v>2.3695124999999999</v>
      </c>
      <c r="L21" s="149">
        <f>+K21/$J$15</f>
        <v>0.18956099999999998</v>
      </c>
      <c r="M21" s="85"/>
    </row>
    <row r="22" spans="1:23" x14ac:dyDescent="0.3">
      <c r="A22" s="11" t="s">
        <v>40</v>
      </c>
      <c r="B22" s="14">
        <v>10</v>
      </c>
      <c r="C22" s="15" t="s">
        <v>36</v>
      </c>
      <c r="D22" s="16">
        <v>3.5</v>
      </c>
      <c r="E22" s="16">
        <f t="shared" si="5"/>
        <v>35</v>
      </c>
      <c r="F22" s="12"/>
      <c r="G22" s="13"/>
      <c r="I22" s="83" t="s">
        <v>100</v>
      </c>
      <c r="J22" s="109">
        <f>+J7/J13</f>
        <v>54.006259999999997</v>
      </c>
      <c r="K22" s="148">
        <f t="shared" ref="K22:K24" si="6">+J22/$J$12</f>
        <v>0.67507824999999999</v>
      </c>
      <c r="L22" s="149">
        <f t="shared" ref="L22:L24" si="7">+K22/$J$15</f>
        <v>5.400626E-2</v>
      </c>
      <c r="M22" s="85"/>
    </row>
    <row r="23" spans="1:23" ht="15" customHeight="1" x14ac:dyDescent="0.3">
      <c r="A23" s="11" t="s">
        <v>43</v>
      </c>
      <c r="B23" s="14">
        <v>10</v>
      </c>
      <c r="C23" s="15" t="s">
        <v>36</v>
      </c>
      <c r="D23" s="16">
        <v>0.86</v>
      </c>
      <c r="E23" s="16">
        <f t="shared" si="5"/>
        <v>8.6</v>
      </c>
      <c r="F23" s="12"/>
      <c r="G23" s="13"/>
      <c r="I23" s="83" t="s">
        <v>27</v>
      </c>
      <c r="J23" s="109">
        <f>+J8*(J13-1)/J13</f>
        <v>376.77156000000002</v>
      </c>
      <c r="K23" s="148">
        <f t="shared" si="6"/>
        <v>4.7096445000000005</v>
      </c>
      <c r="L23" s="149">
        <f t="shared" si="7"/>
        <v>0.37677156000000006</v>
      </c>
      <c r="M23" s="85"/>
    </row>
    <row r="24" spans="1:23" ht="15" thickBot="1" x14ac:dyDescent="0.35">
      <c r="A24" s="11" t="s">
        <v>47</v>
      </c>
      <c r="B24" s="14">
        <v>1</v>
      </c>
      <c r="C24" s="15" t="s">
        <v>14</v>
      </c>
      <c r="D24" s="16">
        <v>25</v>
      </c>
      <c r="E24" s="16">
        <f t="shared" si="5"/>
        <v>25</v>
      </c>
      <c r="F24" s="12"/>
      <c r="G24" s="26"/>
      <c r="I24" s="86" t="s">
        <v>30</v>
      </c>
      <c r="J24" s="109">
        <f>+J9*J12</f>
        <v>676</v>
      </c>
      <c r="K24" s="148">
        <f t="shared" si="6"/>
        <v>8.4499999999999993</v>
      </c>
      <c r="L24" s="149">
        <f t="shared" si="7"/>
        <v>0.67599999999999993</v>
      </c>
      <c r="M24" s="85"/>
    </row>
    <row r="25" spans="1:23" ht="15" thickTop="1" x14ac:dyDescent="0.3">
      <c r="A25" s="27" t="s">
        <v>48</v>
      </c>
      <c r="B25" s="14">
        <v>1</v>
      </c>
      <c r="C25" s="19" t="s">
        <v>14</v>
      </c>
      <c r="D25" s="16">
        <v>10</v>
      </c>
      <c r="E25" s="16">
        <f t="shared" si="5"/>
        <v>10</v>
      </c>
      <c r="F25" s="12">
        <f>+B25*$B$29</f>
        <v>100</v>
      </c>
      <c r="G25" s="13"/>
      <c r="I25" s="88" t="s">
        <v>32</v>
      </c>
      <c r="J25" s="89">
        <f>SUM(J21:J24)</f>
        <v>1296.3388199999999</v>
      </c>
      <c r="K25" s="150">
        <f>SUM(K21:K24)</f>
        <v>16.20423525</v>
      </c>
      <c r="L25" s="150">
        <f>SUM(L21:L24)</f>
        <v>1.2963388199999999</v>
      </c>
      <c r="M25" s="90"/>
    </row>
    <row r="26" spans="1:23" x14ac:dyDescent="0.3">
      <c r="A26" s="27" t="s">
        <v>49</v>
      </c>
      <c r="B26" s="19">
        <v>500</v>
      </c>
      <c r="C26" s="19" t="s">
        <v>50</v>
      </c>
      <c r="D26" s="16">
        <v>0.13</v>
      </c>
      <c r="E26" s="28">
        <f t="shared" si="5"/>
        <v>65</v>
      </c>
      <c r="F26" s="12">
        <f>+B26*$B$29</f>
        <v>50000</v>
      </c>
      <c r="G26" s="13"/>
      <c r="I26" s="123" t="s">
        <v>34</v>
      </c>
      <c r="J26" s="109">
        <f>+J12*J15*J17</f>
        <v>2166.6666666666665</v>
      </c>
      <c r="K26" s="148">
        <f>+J26/J12</f>
        <v>27.083333333333332</v>
      </c>
      <c r="L26" s="149">
        <f>+K26/J15</f>
        <v>2.1666666666666665</v>
      </c>
      <c r="M26" s="1"/>
    </row>
    <row r="27" spans="1:23" ht="15" thickBot="1" x14ac:dyDescent="0.35">
      <c r="A27" s="27" t="s">
        <v>51</v>
      </c>
      <c r="B27" s="21"/>
      <c r="C27" s="22"/>
      <c r="D27" s="29"/>
      <c r="E27" s="30">
        <f>SUM(E10:E25)*0.1</f>
        <v>80.25500000000001</v>
      </c>
      <c r="F27" s="156"/>
      <c r="G27" s="13"/>
      <c r="I27" s="91" t="s">
        <v>37</v>
      </c>
      <c r="J27" s="109">
        <f>+J26-J25</f>
        <v>870.32784666666657</v>
      </c>
      <c r="K27" s="148">
        <f t="shared" ref="K27:L27" si="8">+K26-K25</f>
        <v>10.879098083333332</v>
      </c>
      <c r="L27" s="148">
        <f t="shared" si="8"/>
        <v>0.87032784666666663</v>
      </c>
      <c r="M27" s="92"/>
    </row>
    <row r="28" spans="1:23" ht="15.6" thickTop="1" thickBot="1" x14ac:dyDescent="0.35">
      <c r="A28" s="31" t="s">
        <v>52</v>
      </c>
      <c r="B28" s="32"/>
      <c r="C28" s="33"/>
      <c r="D28" s="34"/>
      <c r="E28" s="35">
        <f>SUM(E10:E27)</f>
        <v>947.80500000000006</v>
      </c>
      <c r="F28" s="156"/>
      <c r="G28" s="36"/>
      <c r="I28" s="23" t="s">
        <v>39</v>
      </c>
      <c r="J28" s="141">
        <f>+J25*$J$11</f>
        <v>648169.40999999992</v>
      </c>
      <c r="K28" s="138"/>
      <c r="L28" s="139"/>
      <c r="M28" s="104"/>
    </row>
    <row r="29" spans="1:23" ht="15" thickBot="1" x14ac:dyDescent="0.35">
      <c r="A29" s="37" t="s">
        <v>53</v>
      </c>
      <c r="B29" s="38">
        <f>+$J$11*0.2</f>
        <v>100</v>
      </c>
      <c r="C29" s="39"/>
      <c r="D29" s="40" t="s">
        <v>54</v>
      </c>
      <c r="E29" s="41">
        <f>E28*B29</f>
        <v>94780.5</v>
      </c>
      <c r="F29" s="157"/>
      <c r="I29" s="23" t="s">
        <v>41</v>
      </c>
      <c r="J29" s="141">
        <f t="shared" ref="J29:J30" si="9">+J26*$J$11</f>
        <v>1083333.3333333333</v>
      </c>
      <c r="K29" s="121"/>
      <c r="L29" s="124"/>
      <c r="M29" s="104"/>
    </row>
    <row r="30" spans="1:23" ht="15" thickBot="1" x14ac:dyDescent="0.35">
      <c r="A30" s="152" t="s">
        <v>55</v>
      </c>
      <c r="B30" s="152"/>
      <c r="C30" s="152"/>
      <c r="D30" s="152"/>
      <c r="F30" s="5"/>
      <c r="G30" s="5"/>
      <c r="I30" s="25" t="s">
        <v>44</v>
      </c>
      <c r="J30" s="141">
        <f t="shared" si="9"/>
        <v>435163.92333333328</v>
      </c>
      <c r="K30" s="105"/>
      <c r="L30" s="125"/>
      <c r="M30" s="137"/>
    </row>
    <row r="31" spans="1:23" ht="15" thickBot="1" x14ac:dyDescent="0.35">
      <c r="J31" s="140"/>
      <c r="W31" s="2"/>
    </row>
    <row r="32" spans="1:23" x14ac:dyDescent="0.3">
      <c r="A32" s="42" t="s">
        <v>4</v>
      </c>
      <c r="B32" s="158" t="s">
        <v>56</v>
      </c>
      <c r="C32" s="159"/>
      <c r="D32" s="43" t="s">
        <v>57</v>
      </c>
      <c r="E32" s="44" t="s">
        <v>7</v>
      </c>
      <c r="F32" s="44" t="s">
        <v>56</v>
      </c>
      <c r="G32" s="10"/>
      <c r="W32" s="2"/>
    </row>
    <row r="33" spans="1:23" x14ac:dyDescent="0.3">
      <c r="A33" s="27" t="s">
        <v>58</v>
      </c>
      <c r="B33" s="19">
        <v>2</v>
      </c>
      <c r="C33" s="19" t="s">
        <v>59</v>
      </c>
      <c r="D33" s="45">
        <v>6</v>
      </c>
      <c r="E33" s="28">
        <f>+B33*D33</f>
        <v>12</v>
      </c>
      <c r="F33" s="12">
        <f t="shared" ref="F33:F43" si="10">+B33*$B$29</f>
        <v>200</v>
      </c>
      <c r="G33" s="46"/>
      <c r="W33" s="2"/>
    </row>
    <row r="34" spans="1:23" x14ac:dyDescent="0.3">
      <c r="A34" s="27" t="s">
        <v>62</v>
      </c>
      <c r="B34" s="19">
        <v>2</v>
      </c>
      <c r="C34" s="19" t="s">
        <v>63</v>
      </c>
      <c r="D34" s="47">
        <v>17.8</v>
      </c>
      <c r="E34" s="28">
        <f t="shared" ref="E34:E43" si="11">+B34*D34</f>
        <v>35.6</v>
      </c>
      <c r="F34" s="12">
        <f t="shared" si="10"/>
        <v>200</v>
      </c>
      <c r="G34" s="46"/>
      <c r="J34" t="s">
        <v>42</v>
      </c>
      <c r="W34" s="2"/>
    </row>
    <row r="35" spans="1:23" x14ac:dyDescent="0.3">
      <c r="A35" s="27" t="s">
        <v>64</v>
      </c>
      <c r="B35" s="19">
        <v>1.5</v>
      </c>
      <c r="C35" s="19" t="s">
        <v>11</v>
      </c>
      <c r="D35" s="45">
        <v>16</v>
      </c>
      <c r="E35" s="28">
        <f t="shared" si="11"/>
        <v>24</v>
      </c>
      <c r="F35" s="12">
        <f t="shared" si="10"/>
        <v>150</v>
      </c>
      <c r="G35" s="46"/>
      <c r="J35" s="160" t="s">
        <v>45</v>
      </c>
      <c r="K35" s="164" t="s">
        <v>46</v>
      </c>
      <c r="L35" s="165"/>
      <c r="M35" s="165"/>
      <c r="N35" s="165"/>
      <c r="O35" s="165"/>
      <c r="P35" s="165"/>
      <c r="W35" s="2"/>
    </row>
    <row r="36" spans="1:23" x14ac:dyDescent="0.3">
      <c r="A36" s="27" t="s">
        <v>65</v>
      </c>
      <c r="B36" s="19">
        <v>0.1</v>
      </c>
      <c r="C36" s="19" t="s">
        <v>11</v>
      </c>
      <c r="D36" s="45">
        <v>21.5</v>
      </c>
      <c r="E36" s="28">
        <f t="shared" si="11"/>
        <v>2.15</v>
      </c>
      <c r="F36" s="12">
        <f t="shared" si="10"/>
        <v>10</v>
      </c>
      <c r="G36" s="36"/>
      <c r="J36" s="161"/>
      <c r="K36" s="94">
        <f>+J27</f>
        <v>870.32784666666657</v>
      </c>
      <c r="L36" s="102">
        <v>10</v>
      </c>
      <c r="M36" s="102">
        <v>11</v>
      </c>
      <c r="N36" s="102">
        <v>12.5</v>
      </c>
      <c r="O36" s="102">
        <v>13</v>
      </c>
      <c r="P36" s="102">
        <v>14</v>
      </c>
      <c r="W36" s="2"/>
    </row>
    <row r="37" spans="1:23" x14ac:dyDescent="0.3">
      <c r="A37" s="27" t="s">
        <v>66</v>
      </c>
      <c r="B37" s="19">
        <v>1</v>
      </c>
      <c r="C37" s="19" t="s">
        <v>59</v>
      </c>
      <c r="D37" s="45">
        <v>25</v>
      </c>
      <c r="E37" s="28">
        <f>+B37*D37</f>
        <v>25</v>
      </c>
      <c r="F37" s="12">
        <f t="shared" si="10"/>
        <v>100</v>
      </c>
      <c r="J37" s="161"/>
      <c r="K37" s="102">
        <v>40</v>
      </c>
      <c r="L37" s="96">
        <f t="dataTable" ref="L37:P42" dt2D="1" dtr="1" r1="J15" r2="J12" ca="1"/>
        <v>-91.672153333333426</v>
      </c>
      <c r="M37" s="96">
        <v>-5.0054866666667976</v>
      </c>
      <c r="N37" s="96">
        <v>124.9945133333332</v>
      </c>
      <c r="O37" s="96">
        <v>168.32784666666646</v>
      </c>
      <c r="P37" s="96">
        <v>254.9945133333332</v>
      </c>
      <c r="W37" s="2"/>
    </row>
    <row r="38" spans="1:23" x14ac:dyDescent="0.3">
      <c r="A38" s="27" t="s">
        <v>62</v>
      </c>
      <c r="B38" s="19">
        <v>2</v>
      </c>
      <c r="C38" s="19" t="s">
        <v>63</v>
      </c>
      <c r="D38" s="47">
        <v>17.8</v>
      </c>
      <c r="E38" s="28">
        <f>+B38*D38</f>
        <v>35.6</v>
      </c>
      <c r="F38" s="12">
        <f t="shared" si="10"/>
        <v>200</v>
      </c>
      <c r="J38" s="161"/>
      <c r="K38" s="102">
        <v>50</v>
      </c>
      <c r="L38" s="96">
        <v>40.494513333333316</v>
      </c>
      <c r="M38" s="96">
        <v>148.82784666666657</v>
      </c>
      <c r="N38" s="96">
        <v>311.32784666666657</v>
      </c>
      <c r="O38" s="96">
        <v>365.49451333333332</v>
      </c>
      <c r="P38" s="96">
        <v>473.82784666666657</v>
      </c>
      <c r="W38" s="2"/>
    </row>
    <row r="39" spans="1:23" x14ac:dyDescent="0.3">
      <c r="A39" s="27" t="s">
        <v>67</v>
      </c>
      <c r="B39" s="19">
        <v>1.5</v>
      </c>
      <c r="C39" s="19" t="s">
        <v>11</v>
      </c>
      <c r="D39" s="45">
        <v>9.5</v>
      </c>
      <c r="E39" s="28">
        <f>+B39*D39</f>
        <v>14.25</v>
      </c>
      <c r="F39" s="12">
        <f t="shared" si="10"/>
        <v>150</v>
      </c>
      <c r="G39" s="10"/>
      <c r="J39" s="161"/>
      <c r="K39" s="102">
        <v>60</v>
      </c>
      <c r="L39" s="96">
        <v>172.66118000000006</v>
      </c>
      <c r="M39" s="96">
        <v>302.66118000000006</v>
      </c>
      <c r="N39" s="96">
        <v>497.66118000000006</v>
      </c>
      <c r="O39" s="96">
        <v>562.66117999999983</v>
      </c>
      <c r="P39" s="96">
        <v>692.66117999999983</v>
      </c>
      <c r="W39" s="2"/>
    </row>
    <row r="40" spans="1:23" x14ac:dyDescent="0.3">
      <c r="A40" s="27" t="s">
        <v>68</v>
      </c>
      <c r="B40" s="19">
        <v>0.5</v>
      </c>
      <c r="C40" s="19" t="s">
        <v>11</v>
      </c>
      <c r="D40" s="45">
        <v>10.5</v>
      </c>
      <c r="E40" s="28">
        <f>+B40*D40</f>
        <v>5.25</v>
      </c>
      <c r="F40" s="12">
        <f t="shared" si="10"/>
        <v>50</v>
      </c>
      <c r="G40" s="46"/>
      <c r="J40" s="161"/>
      <c r="K40" s="102">
        <v>70</v>
      </c>
      <c r="L40" s="96">
        <v>304.82784666666657</v>
      </c>
      <c r="M40" s="96">
        <v>456.49451333333332</v>
      </c>
      <c r="N40" s="96">
        <v>683.99451333333332</v>
      </c>
      <c r="O40" s="96">
        <v>759.82784666666657</v>
      </c>
      <c r="P40" s="96">
        <v>911.49451333333309</v>
      </c>
      <c r="W40" s="2"/>
    </row>
    <row r="41" spans="1:23" x14ac:dyDescent="0.3">
      <c r="A41" s="27" t="s">
        <v>69</v>
      </c>
      <c r="B41" s="19">
        <v>0.1</v>
      </c>
      <c r="C41" s="19" t="s">
        <v>11</v>
      </c>
      <c r="D41" s="45">
        <v>55</v>
      </c>
      <c r="E41" s="28">
        <f>+B41*D41</f>
        <v>5.5</v>
      </c>
      <c r="F41" s="12">
        <f t="shared" si="10"/>
        <v>10</v>
      </c>
      <c r="J41" s="161"/>
      <c r="K41" s="102">
        <v>80</v>
      </c>
      <c r="L41" s="96">
        <v>436.99451333333332</v>
      </c>
      <c r="M41" s="96">
        <v>610.32784666666657</v>
      </c>
      <c r="N41" s="96">
        <v>870.32784666666657</v>
      </c>
      <c r="O41" s="96">
        <v>956.99451333333309</v>
      </c>
      <c r="P41" s="96">
        <v>1130.3278466666666</v>
      </c>
      <c r="Q41" s="99"/>
      <c r="R41" s="99"/>
      <c r="S41" s="99"/>
      <c r="T41" s="99"/>
      <c r="U41" s="99"/>
      <c r="V41" s="99"/>
      <c r="W41" s="2"/>
    </row>
    <row r="42" spans="1:23" x14ac:dyDescent="0.3">
      <c r="A42" s="27" t="s">
        <v>70</v>
      </c>
      <c r="B42" s="19">
        <v>3</v>
      </c>
      <c r="C42" s="19"/>
      <c r="D42" s="45">
        <v>8</v>
      </c>
      <c r="E42" s="28">
        <f t="shared" si="11"/>
        <v>24</v>
      </c>
      <c r="F42" s="12">
        <f t="shared" si="10"/>
        <v>300</v>
      </c>
      <c r="J42" s="162"/>
      <c r="K42" s="102">
        <v>90</v>
      </c>
      <c r="L42" s="96">
        <v>569.16117999999983</v>
      </c>
      <c r="M42" s="96">
        <v>764.16118000000006</v>
      </c>
      <c r="N42" s="96">
        <v>1056.6611800000001</v>
      </c>
      <c r="O42" s="96">
        <v>1154.1611800000001</v>
      </c>
      <c r="P42" s="96">
        <v>1349.1611800000001</v>
      </c>
      <c r="Q42" s="97"/>
      <c r="R42" s="100"/>
      <c r="S42" s="100"/>
      <c r="T42" s="100"/>
      <c r="U42" s="100"/>
      <c r="V42" s="100"/>
      <c r="W42" s="2"/>
    </row>
    <row r="43" spans="1:23" x14ac:dyDescent="0.3">
      <c r="A43" s="27" t="s">
        <v>71</v>
      </c>
      <c r="B43" s="19">
        <v>100</v>
      </c>
      <c r="C43" s="19" t="s">
        <v>63</v>
      </c>
      <c r="D43" s="45">
        <v>0.62133000000000005</v>
      </c>
      <c r="E43" s="28">
        <f t="shared" si="11"/>
        <v>62.133000000000003</v>
      </c>
      <c r="F43" s="12">
        <f t="shared" si="10"/>
        <v>10000</v>
      </c>
      <c r="J43" s="2"/>
      <c r="K43" s="2"/>
      <c r="L43" s="2"/>
      <c r="M43" s="98"/>
      <c r="N43" s="2"/>
      <c r="O43" s="2"/>
      <c r="P43" s="2"/>
      <c r="Q43" s="100"/>
      <c r="R43" s="98"/>
      <c r="S43" s="98"/>
      <c r="T43" s="98"/>
      <c r="U43" s="98"/>
      <c r="V43" s="98"/>
      <c r="W43" s="2"/>
    </row>
    <row r="44" spans="1:23" x14ac:dyDescent="0.3">
      <c r="A44" s="27" t="s">
        <v>51</v>
      </c>
      <c r="B44" s="19"/>
      <c r="C44" s="19"/>
      <c r="D44" s="45"/>
      <c r="E44" s="30">
        <f>SUM(E33:E43)*0.1</f>
        <v>24.548300000000001</v>
      </c>
      <c r="F44" s="48"/>
      <c r="J44" t="s">
        <v>117</v>
      </c>
      <c r="Q44" s="100"/>
      <c r="R44" s="98"/>
      <c r="S44" s="98"/>
      <c r="T44" s="98"/>
      <c r="U44" s="98"/>
      <c r="V44" s="98"/>
      <c r="W44" s="2"/>
    </row>
    <row r="45" spans="1:23" ht="15" thickBot="1" x14ac:dyDescent="0.35">
      <c r="A45" s="49" t="s">
        <v>52</v>
      </c>
      <c r="B45" s="50"/>
      <c r="C45" s="51"/>
      <c r="D45" s="52"/>
      <c r="E45" s="53">
        <f>SUM(E33:E44)</f>
        <v>270.03129999999999</v>
      </c>
      <c r="F45" s="48"/>
      <c r="J45" s="166" t="s">
        <v>60</v>
      </c>
      <c r="K45" s="164" t="s">
        <v>61</v>
      </c>
      <c r="L45" s="165"/>
      <c r="M45" s="165"/>
      <c r="N45" s="165"/>
      <c r="O45" s="165"/>
      <c r="P45" s="165"/>
      <c r="Q45" s="100"/>
      <c r="R45" s="98"/>
      <c r="S45" s="98"/>
      <c r="T45" s="98"/>
      <c r="U45" s="98"/>
      <c r="V45" s="98"/>
      <c r="W45" s="2"/>
    </row>
    <row r="46" spans="1:23" ht="15" thickBot="1" x14ac:dyDescent="0.35">
      <c r="A46" s="54" t="s">
        <v>72</v>
      </c>
      <c r="B46" s="38">
        <f>+$J$11*0.2</f>
        <v>100</v>
      </c>
      <c r="C46" s="55"/>
      <c r="D46" s="56" t="s">
        <v>54</v>
      </c>
      <c r="E46" s="57">
        <f>E45*B46</f>
        <v>27003.129999999997</v>
      </c>
      <c r="F46" s="58"/>
      <c r="J46" s="166"/>
      <c r="K46" s="94">
        <f>+K27</f>
        <v>10.879098083333332</v>
      </c>
      <c r="L46" s="95">
        <v>1</v>
      </c>
      <c r="M46" s="95">
        <v>5</v>
      </c>
      <c r="N46" s="95">
        <v>7</v>
      </c>
      <c r="O46" s="95">
        <v>9</v>
      </c>
      <c r="P46" s="95">
        <v>10</v>
      </c>
      <c r="Q46" s="100"/>
      <c r="R46" s="98"/>
      <c r="S46" s="98"/>
      <c r="T46" s="98"/>
      <c r="U46" s="98"/>
      <c r="V46" s="98"/>
      <c r="W46" s="2"/>
    </row>
    <row r="47" spans="1:23" x14ac:dyDescent="0.3">
      <c r="A47" s="163" t="s">
        <v>73</v>
      </c>
      <c r="B47" s="163"/>
      <c r="C47" s="163"/>
      <c r="D47" s="163"/>
      <c r="E47" s="163"/>
      <c r="F47" s="13"/>
      <c r="J47" s="166"/>
      <c r="K47" s="95">
        <v>40</v>
      </c>
      <c r="L47" s="142">
        <f t="dataTable" ref="L47:P52" dt2D="1" dtr="1" r1="J13" r2="J12"/>
        <v>-11.812574166666668</v>
      </c>
      <c r="M47" s="142">
        <v>3.1248628333333315</v>
      </c>
      <c r="N47" s="142">
        <v>4.1918226190476204</v>
      </c>
      <c r="O47" s="142">
        <v>4.7845780555555528</v>
      </c>
      <c r="P47" s="142">
        <v>4.9920424583333336</v>
      </c>
      <c r="Q47" s="100"/>
      <c r="R47" s="98"/>
      <c r="S47" s="98"/>
      <c r="T47" s="98"/>
      <c r="U47" s="98"/>
      <c r="V47" s="98"/>
      <c r="W47" s="2"/>
    </row>
    <row r="48" spans="1:23" ht="15" thickBot="1" x14ac:dyDescent="0.35">
      <c r="F48" s="13"/>
      <c r="J48" s="166"/>
      <c r="K48" s="95">
        <v>50</v>
      </c>
      <c r="L48" s="142">
        <v>-5.723392666666669</v>
      </c>
      <c r="M48" s="142">
        <v>6.2265569333333275</v>
      </c>
      <c r="N48" s="142">
        <v>7.0801247619047594</v>
      </c>
      <c r="O48" s="142">
        <v>7.5543291111111088</v>
      </c>
      <c r="P48" s="142">
        <v>7.7203006333333306</v>
      </c>
      <c r="Q48" s="101"/>
      <c r="R48" s="98"/>
      <c r="S48" s="98"/>
      <c r="T48" s="98"/>
      <c r="U48" s="98"/>
      <c r="V48" s="98"/>
      <c r="W48" s="2"/>
    </row>
    <row r="49" spans="1:23" x14ac:dyDescent="0.3">
      <c r="A49" s="6" t="s">
        <v>4</v>
      </c>
      <c r="B49" s="7" t="s">
        <v>56</v>
      </c>
      <c r="C49" s="7"/>
      <c r="D49" s="8" t="s">
        <v>57</v>
      </c>
      <c r="E49" s="8" t="s">
        <v>7</v>
      </c>
      <c r="F49" s="9" t="s">
        <v>56</v>
      </c>
      <c r="J49" s="166"/>
      <c r="K49" s="95">
        <v>60</v>
      </c>
      <c r="L49" s="142">
        <v>-1.6639383333333342</v>
      </c>
      <c r="M49" s="142">
        <v>8.2943529999999974</v>
      </c>
      <c r="N49" s="142">
        <v>9.0056595238095234</v>
      </c>
      <c r="O49" s="142">
        <v>9.4008298148148164</v>
      </c>
      <c r="P49" s="142">
        <v>9.5391394166666679</v>
      </c>
      <c r="Q49" s="2"/>
      <c r="R49" s="2"/>
      <c r="S49" s="2"/>
      <c r="T49" s="2"/>
      <c r="U49" s="2"/>
      <c r="V49" s="2"/>
      <c r="W49" s="2"/>
    </row>
    <row r="50" spans="1:23" x14ac:dyDescent="0.3">
      <c r="A50" s="27" t="s">
        <v>74</v>
      </c>
      <c r="B50" s="19">
        <v>1</v>
      </c>
      <c r="C50" s="19" t="s">
        <v>59</v>
      </c>
      <c r="D50" s="45">
        <v>50</v>
      </c>
      <c r="E50" s="59">
        <f t="shared" ref="E50:E64" si="12">+B50*D50</f>
        <v>50</v>
      </c>
      <c r="F50" s="12">
        <f t="shared" ref="F50:F65" si="13">+B50*$B$29</f>
        <v>100</v>
      </c>
      <c r="J50" s="166"/>
      <c r="K50" s="95">
        <v>70</v>
      </c>
      <c r="L50" s="142">
        <v>1.2356719047619045</v>
      </c>
      <c r="M50" s="142">
        <v>9.7713501904761877</v>
      </c>
      <c r="N50" s="142">
        <v>10.381041496598638</v>
      </c>
      <c r="O50" s="142">
        <v>10.719758888888887</v>
      </c>
      <c r="P50" s="142">
        <v>10.838309976190477</v>
      </c>
      <c r="Q50" s="2"/>
      <c r="R50" s="2"/>
      <c r="S50" s="2"/>
      <c r="T50" s="2"/>
      <c r="U50" s="2"/>
      <c r="V50" s="2"/>
      <c r="W50" s="2"/>
    </row>
    <row r="51" spans="1:23" x14ac:dyDescent="0.3">
      <c r="A51" s="27" t="s">
        <v>75</v>
      </c>
      <c r="B51" s="19">
        <v>150</v>
      </c>
      <c r="C51" s="19" t="s">
        <v>29</v>
      </c>
      <c r="D51" s="45">
        <v>0.62133000000000005</v>
      </c>
      <c r="E51" s="59">
        <f t="shared" si="12"/>
        <v>93.1995</v>
      </c>
      <c r="F51" s="12">
        <f t="shared" si="13"/>
        <v>15000</v>
      </c>
      <c r="J51" s="166"/>
      <c r="K51" s="95">
        <v>80</v>
      </c>
      <c r="L51" s="142">
        <v>3.4103795833333344</v>
      </c>
      <c r="M51" s="142">
        <v>10.879098083333332</v>
      </c>
      <c r="N51" s="142">
        <v>11.412577976190477</v>
      </c>
      <c r="O51" s="142">
        <v>11.708955694444445</v>
      </c>
      <c r="P51" s="142">
        <v>11.812687895833333</v>
      </c>
    </row>
    <row r="52" spans="1:23" x14ac:dyDescent="0.3">
      <c r="A52" s="27" t="s">
        <v>76</v>
      </c>
      <c r="B52" s="19">
        <v>50</v>
      </c>
      <c r="C52" s="19" t="s">
        <v>29</v>
      </c>
      <c r="D52" s="45">
        <v>0.96</v>
      </c>
      <c r="E52" s="59">
        <f t="shared" si="12"/>
        <v>48</v>
      </c>
      <c r="F52" s="12">
        <f t="shared" si="13"/>
        <v>5000</v>
      </c>
      <c r="J52" s="166"/>
      <c r="K52" s="95">
        <v>90</v>
      </c>
      <c r="L52" s="142">
        <v>5.1018188888888893</v>
      </c>
      <c r="M52" s="142">
        <v>11.740679777777778</v>
      </c>
      <c r="N52" s="142">
        <v>12.214884126984126</v>
      </c>
      <c r="O52" s="142">
        <v>12.478330987654321</v>
      </c>
      <c r="P52" s="142">
        <v>12.570537388888889</v>
      </c>
    </row>
    <row r="53" spans="1:23" x14ac:dyDescent="0.3">
      <c r="A53" s="27" t="s">
        <v>77</v>
      </c>
      <c r="B53" s="19">
        <v>1</v>
      </c>
      <c r="C53" s="19" t="s">
        <v>59</v>
      </c>
      <c r="D53" s="45">
        <v>40</v>
      </c>
      <c r="E53" s="59">
        <f t="shared" si="12"/>
        <v>40</v>
      </c>
      <c r="F53" s="12">
        <f t="shared" si="13"/>
        <v>100</v>
      </c>
    </row>
    <row r="54" spans="1:23" x14ac:dyDescent="0.3">
      <c r="A54" s="27" t="s">
        <v>49</v>
      </c>
      <c r="B54" s="19">
        <v>200</v>
      </c>
      <c r="C54" s="19" t="s">
        <v>29</v>
      </c>
      <c r="D54" s="45">
        <v>0.13</v>
      </c>
      <c r="E54" s="59">
        <f t="shared" si="12"/>
        <v>26</v>
      </c>
      <c r="F54" s="12">
        <f t="shared" si="13"/>
        <v>20000</v>
      </c>
    </row>
    <row r="55" spans="1:23" x14ac:dyDescent="0.3">
      <c r="A55" s="27" t="s">
        <v>78</v>
      </c>
      <c r="B55" s="19">
        <v>2</v>
      </c>
      <c r="C55" s="19" t="s">
        <v>59</v>
      </c>
      <c r="D55" s="45">
        <v>6</v>
      </c>
      <c r="E55" s="59">
        <f t="shared" si="12"/>
        <v>12</v>
      </c>
      <c r="F55" s="12">
        <f t="shared" si="13"/>
        <v>200</v>
      </c>
    </row>
    <row r="56" spans="1:23" x14ac:dyDescent="0.3">
      <c r="A56" s="27" t="s">
        <v>79</v>
      </c>
      <c r="B56" s="19">
        <v>2</v>
      </c>
      <c r="C56" s="19" t="s">
        <v>63</v>
      </c>
      <c r="D56" s="47">
        <v>15.9</v>
      </c>
      <c r="E56" s="59">
        <f t="shared" si="12"/>
        <v>31.8</v>
      </c>
      <c r="F56" s="12">
        <f t="shared" si="13"/>
        <v>200</v>
      </c>
      <c r="G56" s="10"/>
    </row>
    <row r="57" spans="1:23" x14ac:dyDescent="0.3">
      <c r="A57" s="27" t="s">
        <v>65</v>
      </c>
      <c r="B57" s="19">
        <v>0.1</v>
      </c>
      <c r="C57" s="19" t="s">
        <v>11</v>
      </c>
      <c r="D57" s="45">
        <v>21.5</v>
      </c>
      <c r="E57" s="59">
        <f t="shared" si="12"/>
        <v>2.15</v>
      </c>
      <c r="F57" s="12">
        <f t="shared" si="13"/>
        <v>10</v>
      </c>
    </row>
    <row r="58" spans="1:23" x14ac:dyDescent="0.3">
      <c r="A58" s="27" t="s">
        <v>80</v>
      </c>
      <c r="B58" s="19">
        <v>0.3</v>
      </c>
      <c r="C58" s="19" t="s">
        <v>11</v>
      </c>
      <c r="D58" s="45">
        <v>80</v>
      </c>
      <c r="E58" s="59">
        <f t="shared" si="12"/>
        <v>24</v>
      </c>
      <c r="F58" s="12">
        <f t="shared" si="13"/>
        <v>30</v>
      </c>
    </row>
    <row r="59" spans="1:23" x14ac:dyDescent="0.3">
      <c r="A59" s="27" t="s">
        <v>81</v>
      </c>
      <c r="B59" s="19">
        <v>0.2</v>
      </c>
      <c r="C59" s="19" t="s">
        <v>11</v>
      </c>
      <c r="D59" s="45">
        <v>155</v>
      </c>
      <c r="E59" s="59">
        <f t="shared" si="12"/>
        <v>31</v>
      </c>
      <c r="F59" s="12">
        <f t="shared" si="13"/>
        <v>20</v>
      </c>
    </row>
    <row r="60" spans="1:23" x14ac:dyDescent="0.3">
      <c r="A60" s="27" t="s">
        <v>68</v>
      </c>
      <c r="B60" s="19">
        <v>0.5</v>
      </c>
      <c r="C60" s="19" t="s">
        <v>11</v>
      </c>
      <c r="D60" s="45">
        <v>10.5</v>
      </c>
      <c r="E60" s="59">
        <f t="shared" si="12"/>
        <v>5.25</v>
      </c>
      <c r="F60" s="12">
        <f t="shared" si="13"/>
        <v>50</v>
      </c>
    </row>
    <row r="61" spans="1:23" x14ac:dyDescent="0.3">
      <c r="A61" s="27" t="s">
        <v>67</v>
      </c>
      <c r="B61" s="19">
        <v>1.5</v>
      </c>
      <c r="C61" s="19" t="s">
        <v>11</v>
      </c>
      <c r="D61" s="45">
        <v>9.5</v>
      </c>
      <c r="E61" s="59">
        <f t="shared" si="12"/>
        <v>14.25</v>
      </c>
      <c r="F61" s="12">
        <f t="shared" si="13"/>
        <v>150</v>
      </c>
    </row>
    <row r="62" spans="1:23" x14ac:dyDescent="0.3">
      <c r="A62" s="27" t="s">
        <v>82</v>
      </c>
      <c r="B62" s="19">
        <v>1</v>
      </c>
      <c r="C62" s="19" t="s">
        <v>83</v>
      </c>
      <c r="D62" s="45">
        <v>6</v>
      </c>
      <c r="E62" s="59">
        <f t="shared" si="12"/>
        <v>6</v>
      </c>
      <c r="F62" s="12">
        <f t="shared" si="13"/>
        <v>100</v>
      </c>
    </row>
    <row r="63" spans="1:23" x14ac:dyDescent="0.3">
      <c r="A63" s="27" t="s">
        <v>84</v>
      </c>
      <c r="B63" s="19">
        <v>2</v>
      </c>
      <c r="C63" s="19" t="s">
        <v>11</v>
      </c>
      <c r="D63" s="45">
        <v>7.5</v>
      </c>
      <c r="E63" s="59">
        <f t="shared" si="12"/>
        <v>15</v>
      </c>
      <c r="F63" s="12">
        <f t="shared" si="13"/>
        <v>200</v>
      </c>
    </row>
    <row r="64" spans="1:23" x14ac:dyDescent="0.3">
      <c r="A64" s="27" t="s">
        <v>69</v>
      </c>
      <c r="B64" s="19">
        <v>0.1</v>
      </c>
      <c r="C64" s="19" t="s">
        <v>11</v>
      </c>
      <c r="D64" s="45">
        <v>55</v>
      </c>
      <c r="E64" s="59">
        <f t="shared" si="12"/>
        <v>5.5</v>
      </c>
      <c r="F64" s="12">
        <f t="shared" si="13"/>
        <v>10</v>
      </c>
    </row>
    <row r="65" spans="1:8" x14ac:dyDescent="0.3">
      <c r="A65" s="27" t="s">
        <v>70</v>
      </c>
      <c r="B65" s="19">
        <v>3</v>
      </c>
      <c r="C65" s="19" t="s">
        <v>83</v>
      </c>
      <c r="D65" s="45">
        <v>8</v>
      </c>
      <c r="E65" s="59">
        <f>+B65*D65</f>
        <v>24</v>
      </c>
      <c r="F65" s="12">
        <f t="shared" si="13"/>
        <v>300</v>
      </c>
    </row>
    <row r="66" spans="1:8" x14ac:dyDescent="0.3">
      <c r="A66" s="27" t="s">
        <v>51</v>
      </c>
      <c r="B66" s="19"/>
      <c r="C66" s="19"/>
      <c r="D66" s="45"/>
      <c r="E66" s="30">
        <f>SUM(E50:E65)*0.1</f>
        <v>42.814950000000003</v>
      </c>
      <c r="F66" s="61"/>
      <c r="G66" s="17"/>
    </row>
    <row r="67" spans="1:8" x14ac:dyDescent="0.3">
      <c r="A67" s="31" t="s">
        <v>52</v>
      </c>
      <c r="B67" s="32"/>
      <c r="C67" s="33"/>
      <c r="D67" s="34"/>
      <c r="E67" s="35">
        <f>SUM(E50:E66)</f>
        <v>470.96445</v>
      </c>
      <c r="F67" s="60"/>
    </row>
    <row r="68" spans="1:8" ht="15" thickBot="1" x14ac:dyDescent="0.35">
      <c r="A68" s="37" t="s">
        <v>85</v>
      </c>
      <c r="B68" s="38">
        <f>+$J$11*0.8</f>
        <v>400</v>
      </c>
      <c r="C68" s="39"/>
      <c r="D68" s="40" t="s">
        <v>54</v>
      </c>
      <c r="E68" s="41">
        <f>E67*B68</f>
        <v>188385.78</v>
      </c>
      <c r="F68" s="62"/>
    </row>
    <row r="70" spans="1:8" x14ac:dyDescent="0.3">
      <c r="A70" s="5" t="s">
        <v>86</v>
      </c>
      <c r="B70" s="5"/>
      <c r="C70" s="5"/>
      <c r="D70" s="5"/>
      <c r="E70" s="5"/>
    </row>
    <row r="71" spans="1:8" ht="15" thickBot="1" x14ac:dyDescent="0.35">
      <c r="A71" s="63"/>
      <c r="B71" s="63"/>
      <c r="C71" s="63"/>
      <c r="D71" s="64"/>
    </row>
    <row r="72" spans="1:8" ht="15" thickBot="1" x14ac:dyDescent="0.35">
      <c r="A72" s="42" t="s">
        <v>4</v>
      </c>
      <c r="B72" s="154" t="s">
        <v>56</v>
      </c>
      <c r="C72" s="155"/>
      <c r="D72" s="43" t="s">
        <v>87</v>
      </c>
      <c r="E72" s="44" t="s">
        <v>7</v>
      </c>
      <c r="F72" s="36"/>
      <c r="G72" s="36"/>
    </row>
    <row r="73" spans="1:8" x14ac:dyDescent="0.3">
      <c r="A73" s="65" t="s">
        <v>88</v>
      </c>
      <c r="B73" s="66">
        <v>1</v>
      </c>
      <c r="C73" s="66" t="s">
        <v>89</v>
      </c>
      <c r="D73" s="66">
        <v>35</v>
      </c>
      <c r="E73" s="67">
        <v>5</v>
      </c>
      <c r="H73" s="68"/>
    </row>
    <row r="74" spans="1:8" x14ac:dyDescent="0.3">
      <c r="A74" s="27" t="s">
        <v>90</v>
      </c>
      <c r="B74" s="19">
        <v>1</v>
      </c>
      <c r="C74" s="19" t="s">
        <v>89</v>
      </c>
      <c r="D74" s="19">
        <v>24</v>
      </c>
      <c r="E74" s="69">
        <v>3.45</v>
      </c>
      <c r="H74" s="68"/>
    </row>
    <row r="75" spans="1:8" x14ac:dyDescent="0.3">
      <c r="A75" s="11"/>
      <c r="B75" s="19"/>
      <c r="C75" s="19"/>
      <c r="D75" s="19"/>
      <c r="E75" s="69"/>
      <c r="H75" s="17"/>
    </row>
    <row r="76" spans="1:8" ht="15" thickBot="1" x14ac:dyDescent="0.35">
      <c r="A76" s="70" t="s">
        <v>52</v>
      </c>
      <c r="B76" s="71"/>
      <c r="C76" s="72"/>
      <c r="D76" s="73"/>
      <c r="E76" s="74">
        <f>E73+E74+E75</f>
        <v>8.4499999999999993</v>
      </c>
      <c r="H76" s="17"/>
    </row>
    <row r="77" spans="1:8" ht="15" thickBot="1" x14ac:dyDescent="0.35">
      <c r="A77" s="54" t="s">
        <v>9</v>
      </c>
      <c r="B77" s="38">
        <f>+$J$11</f>
        <v>500</v>
      </c>
      <c r="C77" s="55"/>
      <c r="D77" s="56" t="s">
        <v>54</v>
      </c>
      <c r="E77" s="75">
        <f>E76*B77</f>
        <v>4225</v>
      </c>
    </row>
  </sheetData>
  <mergeCells count="13">
    <mergeCell ref="F27:F29"/>
    <mergeCell ref="B72:C72"/>
    <mergeCell ref="A6:E6"/>
    <mergeCell ref="A7:E7"/>
    <mergeCell ref="A8:E8"/>
    <mergeCell ref="B9:C9"/>
    <mergeCell ref="K35:P35"/>
    <mergeCell ref="K45:P45"/>
    <mergeCell ref="A30:D30"/>
    <mergeCell ref="B32:C32"/>
    <mergeCell ref="J35:J42"/>
    <mergeCell ref="J45:J52"/>
    <mergeCell ref="A47:E47"/>
  </mergeCells>
  <phoneticPr fontId="9" type="noConversion"/>
  <conditionalFormatting sqref="J21:J24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{1FE10BAB-BF5C-4C9A-8FEC-5283820BC7FF}</x14:id>
        </ext>
      </extLst>
    </cfRule>
  </conditionalFormatting>
  <conditionalFormatting sqref="K21:K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{EA093607-388C-4E0A-A184-37D194994FA2}</x14:id>
        </ext>
      </extLst>
    </cfRule>
  </conditionalFormatting>
  <conditionalFormatting sqref="L21:L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{30746AE0-9271-4AB2-84C6-0ADB9644256C}</x14:id>
        </ext>
      </extLst>
    </cfRule>
  </conditionalFormatting>
  <conditionalFormatting sqref="L37:P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7:P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:R1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:V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10BAB-BF5C-4C9A-8FEC-5283820BC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J21:J24</xm:sqref>
        </x14:conditionalFormatting>
        <x14:conditionalFormatting xmlns:xm="http://schemas.microsoft.com/office/excel/2006/main">
          <x14:cfRule type="dataBar" id="{EA093607-388C-4E0A-A184-37D194994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K21:K24</xm:sqref>
        </x14:conditionalFormatting>
        <x14:conditionalFormatting xmlns:xm="http://schemas.microsoft.com/office/excel/2006/main">
          <x14:cfRule type="dataBar" id="{30746AE0-9271-4AB2-84C6-0ADB964425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L21:L24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63F3D-646A-463B-B310-333613ABCEA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582203-4484-42C8-AA5C-92A53585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E5E58-38BF-4536-AE2E-624AA10BC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Practica_1</vt:lpstr>
      <vt:lpstr>Tabla ejemplo</vt:lpstr>
      <vt:lpstr>Practica_1!Área_de_impresión</vt:lpstr>
      <vt:lpstr>'Tabla ejemplo'!Área_de_impresión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Sanchez Romero</dc:creator>
  <cp:keywords/>
  <dc:description/>
  <cp:lastModifiedBy>Mario Sanchez Romero</cp:lastModifiedBy>
  <cp:revision/>
  <dcterms:created xsi:type="dcterms:W3CDTF">2024-02-01T15:28:54Z</dcterms:created>
  <dcterms:modified xsi:type="dcterms:W3CDTF">2024-04-06T16:37:28Z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0x0101007E2239A6D141344E8A47227767E2E326</vt:lpwstr>
  </property>
</Properties>
</file>